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Scaleby\Accounts\"/>
    </mc:Choice>
  </mc:AlternateContent>
  <xr:revisionPtr revIDLastSave="0" documentId="8_{0EE4C3DA-4CAD-4DC2-861F-3DC40B954B7D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Summary" sheetId="10" r:id="rId1"/>
    <sheet name="Income" sheetId="13" r:id="rId2"/>
    <sheet name="Expenditure" sheetId="14" r:id="rId3"/>
    <sheet name="Expenditure over £100" sheetId="16" r:id="rId4"/>
    <sheet name="Bank Rec" sheetId="11" r:id="rId5"/>
    <sheet name="Budget 2024 2025" sheetId="1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3" i="14" l="1"/>
  <c r="F61" i="14"/>
  <c r="F65" i="14" s="1"/>
  <c r="T60" i="14"/>
  <c r="S58" i="14"/>
  <c r="S59" i="14"/>
  <c r="S60" i="14"/>
  <c r="S49" i="14"/>
  <c r="S50" i="14"/>
  <c r="T51" i="14" s="1"/>
  <c r="S51" i="14"/>
  <c r="S52" i="14"/>
  <c r="T58" i="14" s="1"/>
  <c r="S53" i="14"/>
  <c r="S54" i="14"/>
  <c r="S55" i="14"/>
  <c r="S56" i="14"/>
  <c r="S57" i="14"/>
  <c r="S62" i="14"/>
  <c r="S43" i="14"/>
  <c r="S44" i="14"/>
  <c r="S45" i="14"/>
  <c r="S46" i="14"/>
  <c r="S47" i="14"/>
  <c r="J15" i="10"/>
  <c r="H40" i="14"/>
  <c r="F32" i="10"/>
  <c r="F15" i="10"/>
  <c r="E15" i="10"/>
  <c r="O66" i="14"/>
  <c r="O65" i="14"/>
  <c r="H9" i="14"/>
  <c r="S9" i="14" s="1"/>
  <c r="N36" i="10"/>
  <c r="S5" i="14"/>
  <c r="H66" i="14"/>
  <c r="I66" i="14"/>
  <c r="J66" i="14"/>
  <c r="K66" i="14"/>
  <c r="L66" i="14"/>
  <c r="M66" i="14"/>
  <c r="N66" i="14"/>
  <c r="P66" i="14"/>
  <c r="Q66" i="14"/>
  <c r="R66" i="14"/>
  <c r="E66" i="14"/>
  <c r="D66" i="14"/>
  <c r="G66" i="14"/>
  <c r="S66" i="14"/>
  <c r="F66" i="14"/>
  <c r="R65" i="14"/>
  <c r="Q65" i="14"/>
  <c r="P65" i="14"/>
  <c r="N65" i="14"/>
  <c r="M65" i="14"/>
  <c r="L65" i="14"/>
  <c r="K65" i="14"/>
  <c r="J65" i="14"/>
  <c r="I65" i="14"/>
  <c r="G65" i="14"/>
  <c r="E65" i="14"/>
  <c r="S63" i="14"/>
  <c r="S48" i="14"/>
  <c r="S42" i="14"/>
  <c r="T49" i="14" s="1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8" i="14"/>
  <c r="S7" i="14"/>
  <c r="S6" i="14"/>
  <c r="S4" i="14"/>
  <c r="T7" i="14" s="1"/>
  <c r="G8" i="13"/>
  <c r="F8" i="13"/>
  <c r="E8" i="13"/>
  <c r="H7" i="13"/>
  <c r="H6" i="13"/>
  <c r="H5" i="13"/>
  <c r="S61" i="14" l="1"/>
  <c r="S65" i="14" s="1"/>
  <c r="T27" i="14"/>
  <c r="T37" i="14"/>
  <c r="T41" i="14"/>
  <c r="T31" i="14"/>
  <c r="H65" i="14"/>
  <c r="T12" i="14"/>
  <c r="T19" i="14"/>
  <c r="D65" i="14"/>
  <c r="H8" i="13"/>
  <c r="I8" i="13"/>
  <c r="T65" i="14" l="1"/>
  <c r="O12" i="10" l="1"/>
  <c r="M15" i="10"/>
  <c r="M13" i="10"/>
  <c r="E5" i="12"/>
  <c r="F5" i="12" s="1"/>
  <c r="K13" i="10"/>
  <c r="J13" i="10"/>
  <c r="E6" i="12"/>
  <c r="E11" i="12"/>
  <c r="E13" i="12"/>
  <c r="E21" i="12" l="1"/>
  <c r="E20" i="12"/>
  <c r="E19" i="12"/>
  <c r="E17" i="12"/>
  <c r="D33" i="12"/>
  <c r="D8" i="12"/>
  <c r="C33" i="12"/>
  <c r="C8" i="12"/>
  <c r="O33" i="10"/>
  <c r="I11" i="10"/>
  <c r="I15" i="10"/>
  <c r="H15" i="10"/>
  <c r="H8" i="10"/>
  <c r="I8" i="10"/>
  <c r="J8" i="10"/>
  <c r="K8" i="10"/>
  <c r="L8" i="10"/>
  <c r="M8" i="10"/>
  <c r="N8" i="10"/>
  <c r="O8" i="10"/>
  <c r="E8" i="12" l="1"/>
  <c r="E33" i="12"/>
  <c r="D36" i="12"/>
  <c r="D37" i="12" s="1"/>
  <c r="P27" i="10"/>
  <c r="P20" i="10"/>
  <c r="E36" i="12" l="1"/>
  <c r="D38" i="12"/>
  <c r="E4" i="12"/>
  <c r="E35" i="12" s="1"/>
  <c r="F13" i="10"/>
  <c r="E13" i="10"/>
  <c r="D13" i="10"/>
  <c r="P13" i="10" s="1"/>
  <c r="D35" i="10"/>
  <c r="C33" i="10"/>
  <c r="C8" i="10"/>
  <c r="S8" i="10"/>
  <c r="S13" i="10"/>
  <c r="S19" i="10"/>
  <c r="E37" i="12" l="1"/>
  <c r="E38" i="12" s="1"/>
  <c r="S33" i="10"/>
  <c r="L33" i="10" l="1"/>
  <c r="L36" i="10" s="1"/>
  <c r="N33" i="10"/>
  <c r="F8" i="10"/>
  <c r="J33" i="10" l="1"/>
  <c r="J36" i="10" s="1"/>
  <c r="H33" i="10"/>
  <c r="P17" i="10"/>
  <c r="P11" i="10"/>
  <c r="P12" i="10"/>
  <c r="P14" i="10"/>
  <c r="P18" i="10"/>
  <c r="P22" i="10"/>
  <c r="P23" i="10"/>
  <c r="P24" i="10"/>
  <c r="P26" i="10"/>
  <c r="P28" i="10"/>
  <c r="P29" i="10"/>
  <c r="P30" i="10"/>
  <c r="P31" i="10"/>
  <c r="P19" i="10"/>
  <c r="H36" i="10" l="1"/>
  <c r="P15" i="10"/>
  <c r="P21" i="10"/>
  <c r="D33" i="10" l="1"/>
  <c r="D8" i="10" l="1"/>
  <c r="P6" i="10"/>
  <c r="P7" i="10"/>
  <c r="P5" i="10"/>
  <c r="D36" i="10" l="1"/>
  <c r="D37" i="10" s="1"/>
  <c r="E35" i="10" s="1"/>
  <c r="P16" i="10"/>
  <c r="P32" i="10" l="1"/>
  <c r="F33" i="10" l="1"/>
  <c r="F36" i="10" s="1"/>
  <c r="P10" i="10"/>
  <c r="Q33" i="10" l="1"/>
  <c r="K33" i="10"/>
  <c r="K36" i="10" s="1"/>
  <c r="Q31" i="10"/>
  <c r="R31" i="10"/>
  <c r="Q30" i="10"/>
  <c r="R30" i="10"/>
  <c r="Q29" i="10"/>
  <c r="R29" i="10"/>
  <c r="R28" i="10"/>
  <c r="Q26" i="10"/>
  <c r="R26" i="10"/>
  <c r="Q24" i="10"/>
  <c r="R24" i="10"/>
  <c r="Q23" i="10"/>
  <c r="R23" i="10"/>
  <c r="Q22" i="10"/>
  <c r="Q21" i="10"/>
  <c r="R21" i="10"/>
  <c r="Q19" i="10"/>
  <c r="R19" i="10"/>
  <c r="Q17" i="10"/>
  <c r="R17" i="10"/>
  <c r="Q16" i="10"/>
  <c r="R16" i="10"/>
  <c r="Q15" i="10"/>
  <c r="Q14" i="10"/>
  <c r="R14" i="10"/>
  <c r="Q13" i="10"/>
  <c r="I33" i="10"/>
  <c r="I36" i="10" s="1"/>
  <c r="Q12" i="10"/>
  <c r="Q11" i="10"/>
  <c r="R11" i="10"/>
  <c r="Q10" i="10"/>
  <c r="R10" i="10"/>
  <c r="Q8" i="10"/>
  <c r="G8" i="10"/>
  <c r="E8" i="10"/>
  <c r="Q5" i="10"/>
  <c r="R5" i="10"/>
  <c r="C9" i="11" l="1"/>
  <c r="C14" i="11" s="1"/>
  <c r="R22" i="10"/>
  <c r="M33" i="10"/>
  <c r="M36" i="10" s="1"/>
  <c r="E33" i="10"/>
  <c r="R15" i="10"/>
  <c r="P8" i="10"/>
  <c r="F9" i="11" l="1"/>
  <c r="E36" i="10"/>
  <c r="E37" i="10" s="1"/>
  <c r="F35" i="10" s="1"/>
  <c r="F37" i="10" s="1"/>
  <c r="G35" i="10" s="1"/>
  <c r="R8" i="10"/>
  <c r="G33" i="10" l="1"/>
  <c r="R13" i="10"/>
  <c r="G36" i="10" l="1"/>
  <c r="G37" i="10" s="1"/>
  <c r="H35" i="10" s="1"/>
  <c r="H37" i="10" s="1"/>
  <c r="I35" i="10" s="1"/>
  <c r="I37" i="10" s="1"/>
  <c r="J35" i="10" s="1"/>
  <c r="J37" i="10" s="1"/>
  <c r="K35" i="10" s="1"/>
  <c r="K37" i="10" s="1"/>
  <c r="L35" i="10" s="1"/>
  <c r="L37" i="10" s="1"/>
  <c r="M35" i="10" s="1"/>
  <c r="M37" i="10" s="1"/>
  <c r="N35" i="10" s="1"/>
  <c r="N37" i="10" s="1"/>
  <c r="F12" i="11"/>
  <c r="P33" i="10"/>
  <c r="F14" i="11" l="1"/>
  <c r="P37" i="10"/>
  <c r="P36" i="10" s="1"/>
  <c r="P35" i="10"/>
  <c r="S4" i="10"/>
  <c r="S35" i="10" s="1"/>
  <c r="S36" i="10" s="1"/>
  <c r="R33" i="10"/>
</calcChain>
</file>

<file path=xl/sharedStrings.xml><?xml version="1.0" encoding="utf-8"?>
<sst xmlns="http://schemas.openxmlformats.org/spreadsheetml/2006/main" count="318" uniqueCount="134">
  <si>
    <t>Income</t>
  </si>
  <si>
    <t>Item</t>
  </si>
  <si>
    <t>May</t>
  </si>
  <si>
    <t>July</t>
  </si>
  <si>
    <t>September</t>
  </si>
  <si>
    <t>November</t>
  </si>
  <si>
    <t>January</t>
  </si>
  <si>
    <t>March</t>
  </si>
  <si>
    <t>Brought Forward</t>
  </si>
  <si>
    <t>Precept</t>
  </si>
  <si>
    <t>VAT repayment</t>
  </si>
  <si>
    <t>TOTALS</t>
  </si>
  <si>
    <t>Expenditure</t>
  </si>
  <si>
    <t>Projects</t>
  </si>
  <si>
    <t>SPAAF Days</t>
  </si>
  <si>
    <t>Defibrillator</t>
  </si>
  <si>
    <t>Subs</t>
  </si>
  <si>
    <t>Insurance</t>
  </si>
  <si>
    <t>Newsletter</t>
  </si>
  <si>
    <t>Website</t>
  </si>
  <si>
    <t>Info Commissioner</t>
  </si>
  <si>
    <t>Village Hall Rental</t>
  </si>
  <si>
    <t>Donations/Grants</t>
  </si>
  <si>
    <t>Village Hall</t>
  </si>
  <si>
    <t>Welfare Committee</t>
  </si>
  <si>
    <t>Others</t>
  </si>
  <si>
    <t>Training</t>
  </si>
  <si>
    <t>Contingency fund</t>
  </si>
  <si>
    <t>VAT</t>
  </si>
  <si>
    <t>Other</t>
  </si>
  <si>
    <t xml:space="preserve">Admin &amp; Stationery </t>
  </si>
  <si>
    <t>(CLP Led)</t>
  </si>
  <si>
    <t xml:space="preserve">Running Costs </t>
  </si>
  <si>
    <t xml:space="preserve">Other </t>
  </si>
  <si>
    <t>Clerk</t>
  </si>
  <si>
    <t>Stamps &amp; printing</t>
  </si>
  <si>
    <t>%</t>
  </si>
  <si>
    <t>Gross Salary</t>
  </si>
  <si>
    <t>Maintenance/equipment</t>
  </si>
  <si>
    <t>April</t>
  </si>
  <si>
    <t>June</t>
  </si>
  <si>
    <t>August</t>
  </si>
  <si>
    <t>October</t>
  </si>
  <si>
    <t>December</t>
  </si>
  <si>
    <t>February</t>
  </si>
  <si>
    <t>Budget 2023 2024</t>
  </si>
  <si>
    <t>C/f to 2024 2025</t>
  </si>
  <si>
    <t>Months coverage</t>
  </si>
  <si>
    <t>Election - allowance</t>
  </si>
  <si>
    <t>Balance b/f</t>
  </si>
  <si>
    <t>Balance c/f</t>
  </si>
  <si>
    <t>SCALEBY PARISH COUNCIL</t>
  </si>
  <si>
    <t>HSBC account 40162290724939</t>
  </si>
  <si>
    <t>F/Cast 2023 24</t>
  </si>
  <si>
    <t>Budget 2023/24</t>
  </si>
  <si>
    <t>Bank</t>
  </si>
  <si>
    <t>b/f</t>
  </si>
  <si>
    <t>Movement</t>
  </si>
  <si>
    <t>c/f</t>
  </si>
  <si>
    <t>PC</t>
  </si>
  <si>
    <t>Coronation</t>
  </si>
  <si>
    <t>Bank Charges</t>
  </si>
  <si>
    <t>Scaleby Parish Council Budget 2024 25</t>
  </si>
  <si>
    <t>Movement / Coverage</t>
  </si>
  <si>
    <t>HMRC</t>
  </si>
  <si>
    <t>FULL YEAR 2023 24</t>
  </si>
  <si>
    <t xml:space="preserve"> BANK RECONCILIATION AT 31st March 2024</t>
  </si>
  <si>
    <t>Balance per statement @ 31.03.24</t>
  </si>
  <si>
    <t>Scaleby Parish Council Accounts 2023 24</t>
  </si>
  <si>
    <t>Date</t>
  </si>
  <si>
    <t>Received From</t>
  </si>
  <si>
    <t>Details of Receipt</t>
  </si>
  <si>
    <t>Total</t>
  </si>
  <si>
    <t>VAT Reclaim</t>
  </si>
  <si>
    <t>Cumberland Council</t>
  </si>
  <si>
    <t>Scaleby Parish Council 2023 2024</t>
  </si>
  <si>
    <t>Paid To:</t>
  </si>
  <si>
    <t>Details of Payment</t>
  </si>
  <si>
    <t>Clerks Gross salary</t>
  </si>
  <si>
    <t>ICO</t>
  </si>
  <si>
    <t>Subs &amp; Donations</t>
  </si>
  <si>
    <t>A Dawes</t>
  </si>
  <si>
    <t>CALC</t>
  </si>
  <si>
    <t>DM Payroll Services</t>
  </si>
  <si>
    <t>BHIB</t>
  </si>
  <si>
    <t>Defib Pads</t>
  </si>
  <si>
    <t>Admin &amp; Stationery</t>
  </si>
  <si>
    <t>Insurance - PC</t>
  </si>
  <si>
    <t>Insurance Village Hall</t>
  </si>
  <si>
    <t>Donations Village Hall</t>
  </si>
  <si>
    <t>Donations Coronation</t>
  </si>
  <si>
    <t>April Pay</t>
  </si>
  <si>
    <t>HSBC</t>
  </si>
  <si>
    <t>Bank charges</t>
  </si>
  <si>
    <t>Postage</t>
  </si>
  <si>
    <t>T Moore</t>
  </si>
  <si>
    <t>Materials</t>
  </si>
  <si>
    <t>May Pay</t>
  </si>
  <si>
    <t>May Deds</t>
  </si>
  <si>
    <t>April Deds</t>
  </si>
  <si>
    <t>June Pay</t>
  </si>
  <si>
    <t>June Deds</t>
  </si>
  <si>
    <t>Photocopying</t>
  </si>
  <si>
    <t>YPO</t>
  </si>
  <si>
    <t>Stationery</t>
  </si>
  <si>
    <t>Subscriptions</t>
  </si>
  <si>
    <t>July Pay</t>
  </si>
  <si>
    <t>July Deds</t>
  </si>
  <si>
    <t>Scaleby Village Hall</t>
  </si>
  <si>
    <t>Kings Coronation</t>
  </si>
  <si>
    <t>Hall Rental</t>
  </si>
  <si>
    <t>Aug Pay</t>
  </si>
  <si>
    <t>Aug Deds</t>
  </si>
  <si>
    <t>Admin &amp; Mileage</t>
  </si>
  <si>
    <t>Sept Pay</t>
  </si>
  <si>
    <t>Sept Deds</t>
  </si>
  <si>
    <t>GLL</t>
  </si>
  <si>
    <t>Payroll Services</t>
  </si>
  <si>
    <t>Oct Pay</t>
  </si>
  <si>
    <t>Oct Deds</t>
  </si>
  <si>
    <t>Nov Pay</t>
  </si>
  <si>
    <t>Nov Deds</t>
  </si>
  <si>
    <t>Postage &amp; Land Registry</t>
  </si>
  <si>
    <t>N Moscropp</t>
  </si>
  <si>
    <t>Bus shelter</t>
  </si>
  <si>
    <t>Equiphase</t>
  </si>
  <si>
    <t>Dec Pay</t>
  </si>
  <si>
    <t>Jan Pay</t>
  </si>
  <si>
    <t>Dec Deds</t>
  </si>
  <si>
    <t>Jan Deds</t>
  </si>
  <si>
    <t>Fireworks &amp; Hall hire</t>
  </si>
  <si>
    <t>Feb Pay</t>
  </si>
  <si>
    <t>Mar Pay &amp; adjustments</t>
  </si>
  <si>
    <t>Expenditure over £100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</si>
</sst>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164" formatCode="_-[$£-809]* #,##0_-;\-[$£-809]* #,##0_-;_-[$£-809]* &quot;-&quot;??_-;_-@_-"/>
    <numFmt numFmtId="165" formatCode="_-&quot;£&quot;* #,##0_-;\-&quot;£&quot;* #,##0_-;_-&quot;£&quot;* &quot;-&quot;??_-;_-@_-"/>
    <numFmt numFmtId="166" formatCode="#,##0.00;\(#,##0.00\)"/>
    <numFmt numFmtId="167" formatCode="&quot;£&quot;#,##0.00"/>
    <numFmt numFmtId="168" formatCode="0.0%"/>
    <numFmt numFmtId="169" formatCode="#,##0.000000000000"/>
    <numFmt numFmtId="170" formatCode="0.0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3" tint="-0.249977111117893"/>
      <name val="Arial"/>
      <family val="2"/>
    </font>
    <font>
      <sz val="10"/>
      <color theme="0" tint="-0.249977111117893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D0F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4" fontId="4" fillId="4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4" fontId="1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1" fillId="3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4" fontId="2" fillId="5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44" fontId="1" fillId="2" borderId="0" xfId="0" applyNumberFormat="1" applyFont="1" applyFill="1" applyAlignment="1">
      <alignment vertical="center"/>
    </xf>
    <xf numFmtId="9" fontId="1" fillId="6" borderId="0" xfId="2" applyFont="1" applyFill="1" applyAlignment="1">
      <alignment vertical="center"/>
    </xf>
    <xf numFmtId="44" fontId="1" fillId="2" borderId="0" xfId="1" applyFont="1" applyFill="1" applyAlignment="1">
      <alignment vertical="center"/>
    </xf>
    <xf numFmtId="165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44" fontId="5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9" fontId="1" fillId="6" borderId="4" xfId="2" applyFont="1" applyFill="1" applyBorder="1" applyAlignment="1">
      <alignment vertical="center"/>
    </xf>
    <xf numFmtId="9" fontId="1" fillId="7" borderId="1" xfId="2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44" fontId="2" fillId="8" borderId="1" xfId="1" applyFont="1" applyFill="1" applyBorder="1" applyAlignment="1">
      <alignment vertical="center"/>
    </xf>
    <xf numFmtId="9" fontId="2" fillId="5" borderId="1" xfId="2" applyFont="1" applyFill="1" applyBorder="1" applyAlignment="1">
      <alignment vertical="center"/>
    </xf>
    <xf numFmtId="44" fontId="2" fillId="8" borderId="3" xfId="1" applyFont="1" applyFill="1" applyBorder="1" applyAlignment="1">
      <alignment vertical="center"/>
    </xf>
    <xf numFmtId="17" fontId="0" fillId="2" borderId="1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44" fontId="8" fillId="2" borderId="1" xfId="1" applyFont="1" applyFill="1" applyBorder="1" applyAlignment="1">
      <alignment vertical="center"/>
    </xf>
    <xf numFmtId="44" fontId="8" fillId="2" borderId="0" xfId="1" applyFont="1" applyFill="1" applyBorder="1" applyAlignment="1">
      <alignment vertical="center"/>
    </xf>
    <xf numFmtId="44" fontId="2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2" fillId="0" borderId="0" xfId="0" applyFont="1"/>
    <xf numFmtId="0" fontId="9" fillId="0" borderId="0" xfId="0" applyFont="1"/>
    <xf numFmtId="4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2" fontId="12" fillId="0" borderId="0" xfId="1" applyNumberFormat="1" applyFont="1"/>
    <xf numFmtId="2" fontId="9" fillId="0" borderId="0" xfId="0" applyNumberFormat="1" applyFont="1"/>
    <xf numFmtId="166" fontId="9" fillId="9" borderId="0" xfId="0" applyNumberFormat="1" applyFont="1" applyFill="1"/>
    <xf numFmtId="4" fontId="2" fillId="0" borderId="5" xfId="0" applyNumberFormat="1" applyFont="1" applyBorder="1"/>
    <xf numFmtId="166" fontId="2" fillId="9" borderId="5" xfId="0" applyNumberFormat="1" applyFont="1" applyFill="1" applyBorder="1"/>
    <xf numFmtId="0" fontId="1" fillId="0" borderId="6" xfId="0" applyFont="1" applyBorder="1"/>
    <xf numFmtId="2" fontId="1" fillId="0" borderId="6" xfId="0" applyNumberFormat="1" applyFont="1" applyBorder="1"/>
    <xf numFmtId="0" fontId="9" fillId="0" borderId="6" xfId="0" applyFont="1" applyBorder="1"/>
    <xf numFmtId="0" fontId="1" fillId="0" borderId="6" xfId="0" applyFont="1" applyBorder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164" fontId="8" fillId="2" borderId="0" xfId="0" applyNumberFormat="1" applyFont="1" applyFill="1" applyAlignment="1">
      <alignment vertical="center"/>
    </xf>
    <xf numFmtId="0" fontId="10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167" fontId="0" fillId="0" borderId="0" xfId="0" applyNumberFormat="1"/>
    <xf numFmtId="0" fontId="3" fillId="0" borderId="0" xfId="0" applyFont="1"/>
    <xf numFmtId="1" fontId="2" fillId="2" borderId="0" xfId="0" applyNumberFormat="1" applyFont="1" applyFill="1" applyAlignment="1">
      <alignment vertical="center"/>
    </xf>
    <xf numFmtId="0" fontId="2" fillId="8" borderId="2" xfId="0" applyFont="1" applyFill="1" applyBorder="1" applyAlignment="1">
      <alignment vertical="center"/>
    </xf>
    <xf numFmtId="10" fontId="1" fillId="2" borderId="0" xfId="0" applyNumberFormat="1" applyFont="1" applyFill="1" applyAlignment="1">
      <alignment vertical="center"/>
    </xf>
    <xf numFmtId="9" fontId="1" fillId="2" borderId="0" xfId="0" applyNumberFormat="1" applyFont="1" applyFill="1" applyAlignment="1">
      <alignment vertical="center"/>
    </xf>
    <xf numFmtId="168" fontId="1" fillId="2" borderId="0" xfId="0" applyNumberFormat="1" applyFont="1" applyFill="1" applyAlignment="1">
      <alignment vertical="center"/>
    </xf>
    <xf numFmtId="169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4" fontId="2" fillId="8" borderId="1" xfId="1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170" fontId="0" fillId="0" borderId="0" xfId="0" applyNumberFormat="1"/>
    <xf numFmtId="44" fontId="0" fillId="0" borderId="0" xfId="1" applyFont="1"/>
    <xf numFmtId="44" fontId="16" fillId="0" borderId="0" xfId="1" applyFont="1"/>
    <xf numFmtId="44" fontId="17" fillId="0" borderId="0" xfId="1" applyFont="1"/>
    <xf numFmtId="0" fontId="18" fillId="0" borderId="0" xfId="0" applyFont="1"/>
    <xf numFmtId="44" fontId="18" fillId="0" borderId="0" xfId="1" applyFont="1"/>
    <xf numFmtId="44" fontId="19" fillId="0" borderId="2" xfId="1" applyFont="1" applyBorder="1"/>
    <xf numFmtId="44" fontId="0" fillId="0" borderId="0" xfId="0" applyNumberFormat="1"/>
    <xf numFmtId="14" fontId="0" fillId="2" borderId="0" xfId="0" applyNumberFormat="1" applyFill="1"/>
    <xf numFmtId="14" fontId="0" fillId="0" borderId="0" xfId="0" applyNumberForma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7" fontId="0" fillId="0" borderId="0" xfId="1" applyNumberFormat="1" applyFont="1"/>
    <xf numFmtId="167" fontId="0" fillId="0" borderId="0" xfId="1" applyNumberFormat="1" applyFont="1" applyFill="1"/>
    <xf numFmtId="167" fontId="18" fillId="0" borderId="0" xfId="1" applyNumberFormat="1" applyFont="1" applyFill="1"/>
    <xf numFmtId="167" fontId="18" fillId="0" borderId="0" xfId="1" applyNumberFormat="1" applyFont="1"/>
    <xf numFmtId="167" fontId="18" fillId="0" borderId="0" xfId="1" applyNumberFormat="1" applyFont="1" applyFill="1" applyBorder="1"/>
    <xf numFmtId="167" fontId="18" fillId="0" borderId="0" xfId="0" applyNumberFormat="1" applyFont="1"/>
    <xf numFmtId="167" fontId="19" fillId="0" borderId="2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CD0FC"/>
      <color rgb="FFAAB7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7C15-7890-4CB3-9ACB-CF6457A084DF}">
  <sheetPr>
    <pageSetUpPr fitToPage="1"/>
  </sheetPr>
  <dimension ref="A1:X37"/>
  <sheetViews>
    <sheetView topLeftCell="A12" workbookViewId="0">
      <selection sqref="A1:P37"/>
    </sheetView>
  </sheetViews>
  <sheetFormatPr defaultColWidth="9.109375" defaultRowHeight="15.75" customHeight="1" x14ac:dyDescent="0.25"/>
  <cols>
    <col min="1" max="1" width="22" style="15" customWidth="1"/>
    <col min="2" max="2" width="19.33203125" style="15" bestFit="1" customWidth="1"/>
    <col min="3" max="3" width="15.109375" style="15" customWidth="1"/>
    <col min="4" max="6" width="11.44140625" style="15" hidden="1" customWidth="1"/>
    <col min="7" max="8" width="11.44140625" style="23" hidden="1" customWidth="1"/>
    <col min="9" max="9" width="13.21875" style="26" hidden="1" customWidth="1"/>
    <col min="10" max="10" width="12.6640625" style="26" hidden="1" customWidth="1"/>
    <col min="11" max="12" width="12.6640625" style="23" hidden="1" customWidth="1"/>
    <col min="13" max="14" width="12.6640625" style="15" hidden="1" customWidth="1"/>
    <col min="15" max="15" width="16.109375" style="15" hidden="1" customWidth="1"/>
    <col min="16" max="16" width="14.21875" style="15" customWidth="1"/>
    <col min="17" max="17" width="12.6640625" style="15" hidden="1" customWidth="1"/>
    <col min="18" max="18" width="5.77734375" style="15" hidden="1" customWidth="1"/>
    <col min="19" max="19" width="18" style="15" hidden="1" customWidth="1"/>
    <col min="20" max="20" width="10.33203125" style="15" bestFit="1" customWidth="1"/>
    <col min="21" max="16384" width="9.109375" style="15"/>
  </cols>
  <sheetData>
    <row r="1" spans="1:20" ht="15.75" customHeight="1" x14ac:dyDescent="0.25">
      <c r="A1" s="11" t="s">
        <v>68</v>
      </c>
      <c r="B1" s="11"/>
      <c r="D1" s="14"/>
      <c r="E1" s="14"/>
      <c r="F1" s="14"/>
      <c r="G1" s="14"/>
      <c r="H1" s="14"/>
      <c r="I1" s="14"/>
      <c r="J1" s="14"/>
      <c r="K1" s="14"/>
      <c r="L1" s="14"/>
      <c r="M1" s="1"/>
      <c r="N1" s="1"/>
      <c r="O1" s="1"/>
    </row>
    <row r="2" spans="1:20" ht="15.75" customHeight="1" x14ac:dyDescent="0.25">
      <c r="A2" s="2" t="s">
        <v>0</v>
      </c>
      <c r="B2" s="2"/>
      <c r="C2" s="31"/>
      <c r="D2" s="36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31"/>
      <c r="Q2" s="10"/>
      <c r="R2" s="27"/>
      <c r="S2" s="31"/>
    </row>
    <row r="3" spans="1:20" ht="26.4" x14ac:dyDescent="0.25">
      <c r="A3" s="1" t="s">
        <v>1</v>
      </c>
      <c r="B3" s="1"/>
      <c r="C3" s="32" t="s">
        <v>54</v>
      </c>
      <c r="D3" s="35" t="s">
        <v>39</v>
      </c>
      <c r="E3" s="35" t="s">
        <v>2</v>
      </c>
      <c r="F3" s="35" t="s">
        <v>40</v>
      </c>
      <c r="G3" s="35" t="s">
        <v>3</v>
      </c>
      <c r="H3" s="37" t="s">
        <v>41</v>
      </c>
      <c r="I3" s="16" t="s">
        <v>4</v>
      </c>
      <c r="J3" s="16" t="s">
        <v>42</v>
      </c>
      <c r="K3" s="16" t="s">
        <v>5</v>
      </c>
      <c r="L3" s="16" t="s">
        <v>43</v>
      </c>
      <c r="M3" s="16" t="s">
        <v>6</v>
      </c>
      <c r="N3" s="16" t="s">
        <v>44</v>
      </c>
      <c r="O3" s="17" t="s">
        <v>7</v>
      </c>
      <c r="P3" s="74" t="s">
        <v>65</v>
      </c>
      <c r="Q3" s="10"/>
      <c r="R3" s="28" t="s">
        <v>36</v>
      </c>
      <c r="S3" s="32" t="s">
        <v>45</v>
      </c>
    </row>
    <row r="4" spans="1:20" ht="15.75" customHeight="1" x14ac:dyDescent="0.25">
      <c r="A4" s="1" t="s">
        <v>8</v>
      </c>
      <c r="B4" s="1"/>
      <c r="C4" s="32">
        <v>9041.02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2">
        <v>9041.02</v>
      </c>
      <c r="Q4" s="18" t="s">
        <v>36</v>
      </c>
      <c r="R4" s="4"/>
      <c r="S4" s="32">
        <f>+P4+P8-P33</f>
        <v>5983.989999999998</v>
      </c>
    </row>
    <row r="5" spans="1:20" ht="15.75" customHeight="1" x14ac:dyDescent="0.25">
      <c r="A5" s="5" t="s">
        <v>9</v>
      </c>
      <c r="B5" s="5"/>
      <c r="C5" s="32">
        <v>5900</v>
      </c>
      <c r="D5" s="6">
        <v>5400</v>
      </c>
      <c r="E5" s="6"/>
      <c r="F5" s="6"/>
      <c r="G5" s="6"/>
      <c r="H5" s="38"/>
      <c r="I5" s="38"/>
      <c r="J5" s="6">
        <v>500</v>
      </c>
      <c r="K5" s="38"/>
      <c r="L5" s="38"/>
      <c r="M5" s="38"/>
      <c r="N5" s="38"/>
      <c r="O5" s="38"/>
      <c r="P5" s="32">
        <f>SUM(D5:O5)</f>
        <v>5900</v>
      </c>
      <c r="Q5" s="20" t="e">
        <f>#REF!/#REF!</f>
        <v>#REF!</v>
      </c>
      <c r="R5" s="30">
        <f>P5/C5</f>
        <v>1</v>
      </c>
      <c r="S5" s="32">
        <v>5900</v>
      </c>
    </row>
    <row r="6" spans="1:20" ht="15.75" customHeight="1" x14ac:dyDescent="0.25">
      <c r="A6" s="1" t="s">
        <v>10</v>
      </c>
      <c r="B6" s="1"/>
      <c r="C6" s="32">
        <v>125</v>
      </c>
      <c r="D6" s="6"/>
      <c r="E6" s="6"/>
      <c r="F6" s="6">
        <v>243.46</v>
      </c>
      <c r="G6" s="6"/>
      <c r="H6" s="38"/>
      <c r="I6" s="38"/>
      <c r="J6" s="38"/>
      <c r="K6" s="38"/>
      <c r="L6" s="38"/>
      <c r="M6" s="38"/>
      <c r="N6" s="38"/>
      <c r="O6" s="38"/>
      <c r="P6" s="32">
        <f>SUM(D6:O6)</f>
        <v>243.46</v>
      </c>
      <c r="Q6" s="20">
        <v>0</v>
      </c>
      <c r="R6" s="30">
        <v>0</v>
      </c>
      <c r="S6" s="32">
        <v>125</v>
      </c>
    </row>
    <row r="7" spans="1:20" ht="15.75" customHeight="1" x14ac:dyDescent="0.25">
      <c r="A7" s="1" t="s">
        <v>29</v>
      </c>
      <c r="B7" s="1"/>
      <c r="C7" s="34">
        <v>0</v>
      </c>
      <c r="D7" s="6"/>
      <c r="E7" s="6"/>
      <c r="F7" s="6"/>
      <c r="G7" s="6"/>
      <c r="H7" s="38"/>
      <c r="I7" s="38"/>
      <c r="J7" s="38"/>
      <c r="K7" s="38"/>
      <c r="L7" s="38"/>
      <c r="M7" s="38"/>
      <c r="N7" s="38"/>
      <c r="O7" s="38"/>
      <c r="P7" s="34">
        <f>SUM(D7:O7)</f>
        <v>0</v>
      </c>
      <c r="Q7" s="20">
        <v>0</v>
      </c>
      <c r="R7" s="30">
        <v>0</v>
      </c>
      <c r="S7" s="34">
        <v>0</v>
      </c>
    </row>
    <row r="8" spans="1:20" ht="15.75" customHeight="1" x14ac:dyDescent="0.25">
      <c r="A8" s="7" t="s">
        <v>11</v>
      </c>
      <c r="B8" s="7"/>
      <c r="C8" s="32">
        <f t="shared" ref="C8:O8" si="0">SUM(C5:C7)</f>
        <v>6025</v>
      </c>
      <c r="D8" s="13">
        <f t="shared" si="0"/>
        <v>5400</v>
      </c>
      <c r="E8" s="13">
        <f t="shared" si="0"/>
        <v>0</v>
      </c>
      <c r="F8" s="13">
        <f t="shared" si="0"/>
        <v>243.46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500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32">
        <f>SUM(P5:P7)</f>
        <v>6143.46</v>
      </c>
      <c r="Q8" s="20" t="e">
        <f>#REF!/#REF!</f>
        <v>#REF!</v>
      </c>
      <c r="R8" s="33">
        <f>P8/C8</f>
        <v>1.0196614107883817</v>
      </c>
      <c r="S8" s="32">
        <f>SUM(S5:S7)</f>
        <v>6025</v>
      </c>
      <c r="T8" s="22"/>
    </row>
    <row r="9" spans="1:20" ht="15.75" customHeight="1" x14ac:dyDescent="0.25">
      <c r="A9" s="2" t="s">
        <v>12</v>
      </c>
      <c r="B9" s="2"/>
      <c r="C9" s="3"/>
      <c r="D9" s="8"/>
      <c r="E9" s="8"/>
      <c r="F9" s="8"/>
      <c r="G9" s="8"/>
      <c r="H9" s="8"/>
      <c r="I9" s="8"/>
      <c r="J9" s="8"/>
      <c r="K9" s="3"/>
      <c r="L9" s="3"/>
      <c r="M9" s="3"/>
      <c r="N9" s="3"/>
      <c r="O9" s="3"/>
      <c r="P9" s="3"/>
      <c r="Q9" s="3"/>
      <c r="R9" s="3"/>
      <c r="S9" s="3"/>
      <c r="T9" s="19"/>
    </row>
    <row r="10" spans="1:20" ht="15.75" customHeight="1" x14ac:dyDescent="0.25">
      <c r="A10" s="12" t="s">
        <v>13</v>
      </c>
      <c r="B10" s="1" t="s">
        <v>31</v>
      </c>
      <c r="C10" s="32">
        <v>500</v>
      </c>
      <c r="D10" s="6"/>
      <c r="E10" s="6"/>
      <c r="F10" s="6"/>
      <c r="G10" s="6"/>
      <c r="H10" s="38"/>
      <c r="I10" s="38"/>
      <c r="J10" s="38"/>
      <c r="K10" s="6">
        <v>2300</v>
      </c>
      <c r="L10" s="38"/>
      <c r="M10" s="38"/>
      <c r="N10" s="38"/>
      <c r="O10" s="38"/>
      <c r="P10" s="32">
        <f>SUM(D10:O10)</f>
        <v>2300</v>
      </c>
      <c r="Q10" s="29" t="e">
        <f>#REF!/#REF!</f>
        <v>#REF!</v>
      </c>
      <c r="R10" s="30">
        <f>P10/C10</f>
        <v>4.5999999999999996</v>
      </c>
      <c r="S10" s="32">
        <v>500</v>
      </c>
      <c r="T10" s="22"/>
    </row>
    <row r="11" spans="1:20" ht="15.75" customHeight="1" x14ac:dyDescent="0.25">
      <c r="A11" s="1"/>
      <c r="B11" s="1" t="s">
        <v>14</v>
      </c>
      <c r="C11" s="32">
        <v>800</v>
      </c>
      <c r="D11" s="6"/>
      <c r="E11" s="6"/>
      <c r="F11" s="6"/>
      <c r="G11" s="6"/>
      <c r="H11" s="38"/>
      <c r="I11" s="6">
        <f>165+696</f>
        <v>861</v>
      </c>
      <c r="J11" s="39"/>
      <c r="K11" s="60"/>
      <c r="L11" s="60"/>
      <c r="M11" s="38"/>
      <c r="N11" s="38"/>
      <c r="O11" s="38"/>
      <c r="P11" s="32">
        <f t="shared" ref="P11:P32" si="1">SUM(D11:O11)</f>
        <v>861</v>
      </c>
      <c r="Q11" s="29" t="e">
        <f>#REF!/#REF!</f>
        <v>#REF!</v>
      </c>
      <c r="R11" s="30">
        <f>P11/C11</f>
        <v>1.0762499999999999</v>
      </c>
      <c r="S11" s="32">
        <v>800</v>
      </c>
      <c r="T11" s="22"/>
    </row>
    <row r="12" spans="1:20" ht="15.75" customHeight="1" x14ac:dyDescent="0.25">
      <c r="A12" s="1" t="s">
        <v>15</v>
      </c>
      <c r="B12" s="1" t="s">
        <v>32</v>
      </c>
      <c r="C12" s="32">
        <v>0</v>
      </c>
      <c r="D12" s="6"/>
      <c r="E12" s="6"/>
      <c r="F12" s="6"/>
      <c r="G12" s="6"/>
      <c r="H12" s="38"/>
      <c r="I12" s="38"/>
      <c r="J12" s="38"/>
      <c r="K12" s="38"/>
      <c r="L12" s="38"/>
      <c r="M12" s="38"/>
      <c r="N12" s="38"/>
      <c r="O12" s="6">
        <f>39.82-6.64</f>
        <v>33.18</v>
      </c>
      <c r="P12" s="32">
        <f t="shared" si="1"/>
        <v>33.18</v>
      </c>
      <c r="Q12" s="29" t="e">
        <f>#REF!/#REF!</f>
        <v>#REF!</v>
      </c>
      <c r="R12" s="30">
        <v>0</v>
      </c>
      <c r="S12" s="32">
        <v>0</v>
      </c>
      <c r="T12" s="22"/>
    </row>
    <row r="13" spans="1:20" ht="15.75" customHeight="1" x14ac:dyDescent="0.25">
      <c r="A13" s="12" t="s">
        <v>34</v>
      </c>
      <c r="B13" s="1" t="s">
        <v>37</v>
      </c>
      <c r="C13" s="32">
        <v>2477.2000000000003</v>
      </c>
      <c r="D13" s="6">
        <f>161.56+35.8</f>
        <v>197.36</v>
      </c>
      <c r="E13" s="6">
        <f>161.56+35.8</f>
        <v>197.36</v>
      </c>
      <c r="F13" s="6">
        <f>161.36+36</f>
        <v>197.36</v>
      </c>
      <c r="G13" s="6">
        <v>197.36</v>
      </c>
      <c r="H13" s="6">
        <v>197.36</v>
      </c>
      <c r="I13" s="6">
        <v>197.36</v>
      </c>
      <c r="J13" s="6">
        <f>128.08+33.48+35.8</f>
        <v>197.36</v>
      </c>
      <c r="K13" s="6">
        <f>161.56+35.8</f>
        <v>197.36</v>
      </c>
      <c r="L13" s="6">
        <v>276.56</v>
      </c>
      <c r="M13" s="6">
        <f>174.36+64.8+39</f>
        <v>278.16000000000003</v>
      </c>
      <c r="N13" s="6">
        <v>174.36</v>
      </c>
      <c r="O13" s="6">
        <v>456.68</v>
      </c>
      <c r="P13" s="32">
        <f t="shared" si="1"/>
        <v>2764.64</v>
      </c>
      <c r="Q13" s="29" t="e">
        <f>#REF!/#REF!</f>
        <v>#REF!</v>
      </c>
      <c r="R13" s="30">
        <f>P13/C13</f>
        <v>1.1160342321976424</v>
      </c>
      <c r="S13" s="32">
        <f>2252*1.1</f>
        <v>2477.2000000000003</v>
      </c>
      <c r="T13" s="22"/>
    </row>
    <row r="14" spans="1:20" ht="15.75" customHeight="1" x14ac:dyDescent="0.25">
      <c r="A14" s="1"/>
      <c r="B14" s="1" t="s">
        <v>33</v>
      </c>
      <c r="C14" s="32">
        <v>0</v>
      </c>
      <c r="D14" s="6"/>
      <c r="E14" s="6"/>
      <c r="F14" s="6"/>
      <c r="G14" s="6"/>
      <c r="H14" s="38"/>
      <c r="I14" s="38"/>
      <c r="J14" s="38"/>
      <c r="K14" s="38"/>
      <c r="L14" s="38"/>
      <c r="M14" s="38"/>
      <c r="N14" s="38"/>
      <c r="O14" s="38"/>
      <c r="P14" s="32">
        <f t="shared" si="1"/>
        <v>0</v>
      </c>
      <c r="Q14" s="29" t="e">
        <f>#REF!/#REF!</f>
        <v>#REF!</v>
      </c>
      <c r="R14" s="30" t="e">
        <f>P14/C14</f>
        <v>#DIV/0!</v>
      </c>
      <c r="S14" s="32">
        <v>0</v>
      </c>
      <c r="T14" s="22"/>
    </row>
    <row r="15" spans="1:20" ht="15.75" customHeight="1" x14ac:dyDescent="0.25">
      <c r="A15" s="1" t="s">
        <v>30</v>
      </c>
      <c r="B15" s="1"/>
      <c r="C15" s="32">
        <v>200</v>
      </c>
      <c r="D15" s="6">
        <v>8</v>
      </c>
      <c r="E15" s="6">
        <f>16.44+43.25+8-2.5</f>
        <v>65.19</v>
      </c>
      <c r="F15" s="6">
        <f>10.65+3+41.4+8-0.5-6.9</f>
        <v>55.65</v>
      </c>
      <c r="G15" s="6">
        <v>8</v>
      </c>
      <c r="H15" s="6">
        <f>92.79-4.33</f>
        <v>88.460000000000008</v>
      </c>
      <c r="I15" s="6">
        <f>8+60</f>
        <v>68</v>
      </c>
      <c r="J15" s="6">
        <f>72.78-33.48+8-12.13</f>
        <v>35.17</v>
      </c>
      <c r="K15" s="6">
        <v>78.8</v>
      </c>
      <c r="L15" s="6">
        <v>8</v>
      </c>
      <c r="M15" s="6">
        <f>60+8</f>
        <v>68</v>
      </c>
      <c r="N15" s="6">
        <v>8</v>
      </c>
      <c r="O15" s="6">
        <v>8</v>
      </c>
      <c r="P15" s="32">
        <f t="shared" si="1"/>
        <v>499.27000000000004</v>
      </c>
      <c r="Q15" s="29" t="e">
        <f>#REF!/#REF!</f>
        <v>#REF!</v>
      </c>
      <c r="R15" s="30">
        <f>P15/C15</f>
        <v>2.4963500000000001</v>
      </c>
      <c r="S15" s="32">
        <v>200</v>
      </c>
      <c r="T15" s="22"/>
    </row>
    <row r="16" spans="1:20" ht="15.75" customHeight="1" x14ac:dyDescent="0.25">
      <c r="A16" s="1" t="s">
        <v>38</v>
      </c>
      <c r="B16" s="1"/>
      <c r="C16" s="32">
        <v>150</v>
      </c>
      <c r="D16" s="6"/>
      <c r="E16" s="6"/>
      <c r="F16" s="6"/>
      <c r="G16" s="6"/>
      <c r="H16" s="38"/>
      <c r="I16" s="38"/>
      <c r="J16" s="38"/>
      <c r="K16" s="38"/>
      <c r="L16" s="38"/>
      <c r="M16" s="38"/>
      <c r="N16" s="38"/>
      <c r="O16" s="38"/>
      <c r="P16" s="32">
        <f t="shared" si="1"/>
        <v>0</v>
      </c>
      <c r="Q16" s="29" t="e">
        <f>#REF!/#REF!</f>
        <v>#REF!</v>
      </c>
      <c r="R16" s="30">
        <f>P16/C16</f>
        <v>0</v>
      </c>
      <c r="S16" s="32">
        <v>150</v>
      </c>
      <c r="T16" s="22"/>
    </row>
    <row r="17" spans="1:24" ht="15.75" customHeight="1" x14ac:dyDescent="0.25">
      <c r="A17" s="1" t="s">
        <v>16</v>
      </c>
      <c r="B17" s="1"/>
      <c r="C17" s="32">
        <v>150</v>
      </c>
      <c r="D17" s="6"/>
      <c r="E17" s="6"/>
      <c r="F17" s="6">
        <v>161.51</v>
      </c>
      <c r="G17" s="6"/>
      <c r="H17" s="38"/>
      <c r="I17" s="38"/>
      <c r="J17" s="38"/>
      <c r="K17" s="38"/>
      <c r="L17" s="38"/>
      <c r="M17" s="38"/>
      <c r="N17" s="38"/>
      <c r="O17" s="38"/>
      <c r="P17" s="32">
        <f t="shared" si="1"/>
        <v>161.51</v>
      </c>
      <c r="Q17" s="29" t="e">
        <f>#REF!/#REF!</f>
        <v>#REF!</v>
      </c>
      <c r="R17" s="30">
        <f>P17/C17</f>
        <v>1.0767333333333333</v>
      </c>
      <c r="S17" s="32">
        <v>150</v>
      </c>
      <c r="T17" s="22"/>
    </row>
    <row r="18" spans="1:24" ht="15.75" customHeight="1" x14ac:dyDescent="0.25">
      <c r="A18" s="1" t="s">
        <v>48</v>
      </c>
      <c r="B18" s="1"/>
      <c r="C18" s="32">
        <v>500</v>
      </c>
      <c r="D18" s="6"/>
      <c r="E18" s="6"/>
      <c r="F18" s="6"/>
      <c r="G18" s="6"/>
      <c r="H18" s="38"/>
      <c r="I18" s="38"/>
      <c r="J18" s="38"/>
      <c r="K18" s="38"/>
      <c r="L18" s="38"/>
      <c r="M18" s="38"/>
      <c r="N18" s="38"/>
      <c r="O18" s="38"/>
      <c r="P18" s="32">
        <f t="shared" si="1"/>
        <v>0</v>
      </c>
      <c r="Q18" s="29">
        <v>0</v>
      </c>
      <c r="R18" s="30">
        <v>0</v>
      </c>
      <c r="S18" s="32">
        <v>500</v>
      </c>
      <c r="T18" s="22"/>
    </row>
    <row r="19" spans="1:24" ht="15.75" customHeight="1" x14ac:dyDescent="0.25">
      <c r="A19" s="1" t="s">
        <v>17</v>
      </c>
      <c r="B19" s="1" t="s">
        <v>59</v>
      </c>
      <c r="C19" s="32">
        <v>394.8</v>
      </c>
      <c r="D19" s="6"/>
      <c r="E19" s="6"/>
      <c r="F19" s="6"/>
      <c r="G19" s="6">
        <v>390.2</v>
      </c>
      <c r="H19" s="38"/>
      <c r="I19" s="38"/>
      <c r="J19" s="38"/>
      <c r="K19" s="38"/>
      <c r="L19" s="38"/>
      <c r="M19" s="38"/>
      <c r="N19" s="38"/>
      <c r="O19" s="38"/>
      <c r="P19" s="32">
        <f t="shared" si="1"/>
        <v>390.2</v>
      </c>
      <c r="Q19" s="29" t="e">
        <f>#REF!/#REF!</f>
        <v>#REF!</v>
      </c>
      <c r="R19" s="30">
        <f>P19/C19</f>
        <v>0.98834853090172237</v>
      </c>
      <c r="S19" s="32">
        <f>376*1.05</f>
        <v>394.8</v>
      </c>
      <c r="T19" s="22"/>
    </row>
    <row r="20" spans="1:24" ht="15.75" customHeight="1" x14ac:dyDescent="0.25">
      <c r="A20" s="1"/>
      <c r="B20" s="1" t="s">
        <v>23</v>
      </c>
      <c r="C20" s="32">
        <v>500</v>
      </c>
      <c r="D20" s="6"/>
      <c r="E20" s="6"/>
      <c r="F20" s="6"/>
      <c r="G20" s="6">
        <v>805.65</v>
      </c>
      <c r="H20" s="38"/>
      <c r="I20" s="38"/>
      <c r="J20" s="38"/>
      <c r="K20" s="38"/>
      <c r="L20" s="38"/>
      <c r="M20" s="6"/>
      <c r="N20" s="38"/>
      <c r="O20" s="38"/>
      <c r="P20" s="32">
        <f t="shared" si="1"/>
        <v>805.65</v>
      </c>
      <c r="Q20" s="29"/>
      <c r="R20" s="30"/>
      <c r="S20" s="32">
        <v>500</v>
      </c>
      <c r="T20" s="22"/>
    </row>
    <row r="21" spans="1:24" ht="15.75" customHeight="1" x14ac:dyDescent="0.25">
      <c r="A21" s="1" t="s">
        <v>18</v>
      </c>
      <c r="B21" s="1" t="s">
        <v>35</v>
      </c>
      <c r="C21" s="32">
        <v>460</v>
      </c>
      <c r="D21" s="6">
        <v>166.04</v>
      </c>
      <c r="E21" s="6"/>
      <c r="F21" s="6"/>
      <c r="G21" s="6"/>
      <c r="H21" s="38"/>
      <c r="I21" s="38"/>
      <c r="J21" s="38"/>
      <c r="K21" s="38"/>
      <c r="L21" s="38"/>
      <c r="M21" s="38"/>
      <c r="N21" s="38"/>
      <c r="O21" s="38"/>
      <c r="P21" s="32">
        <f t="shared" si="1"/>
        <v>166.04</v>
      </c>
      <c r="Q21" s="29" t="e">
        <f>#REF!/#REF!</f>
        <v>#REF!</v>
      </c>
      <c r="R21" s="30">
        <f>P21/C21</f>
        <v>0.3609565217391304</v>
      </c>
      <c r="S21" s="32">
        <v>460</v>
      </c>
      <c r="T21" s="22"/>
    </row>
    <row r="22" spans="1:24" ht="15.75" customHeight="1" x14ac:dyDescent="0.25">
      <c r="A22" s="1" t="s">
        <v>19</v>
      </c>
      <c r="B22" s="1"/>
      <c r="C22" s="32">
        <v>70</v>
      </c>
      <c r="D22" s="6"/>
      <c r="E22" s="6"/>
      <c r="F22" s="6"/>
      <c r="G22" s="6"/>
      <c r="H22" s="38"/>
      <c r="I22" s="38"/>
      <c r="J22" s="38"/>
      <c r="K22" s="6">
        <v>20</v>
      </c>
      <c r="L22" s="38"/>
      <c r="M22" s="6">
        <v>66</v>
      </c>
      <c r="N22" s="38"/>
      <c r="O22" s="38"/>
      <c r="P22" s="32">
        <f t="shared" si="1"/>
        <v>86</v>
      </c>
      <c r="Q22" s="29" t="e">
        <f>#REF!/#REF!</f>
        <v>#REF!</v>
      </c>
      <c r="R22" s="30">
        <f>P22/C22</f>
        <v>1.2285714285714286</v>
      </c>
      <c r="S22" s="32">
        <v>70</v>
      </c>
      <c r="T22" s="22"/>
    </row>
    <row r="23" spans="1:24" ht="15.75" customHeight="1" x14ac:dyDescent="0.25">
      <c r="A23" s="1" t="s">
        <v>20</v>
      </c>
      <c r="B23" s="1"/>
      <c r="C23" s="32">
        <v>35</v>
      </c>
      <c r="D23" s="6"/>
      <c r="E23" s="6"/>
      <c r="F23" s="6"/>
      <c r="G23" s="6">
        <v>35</v>
      </c>
      <c r="H23" s="38"/>
      <c r="I23" s="38"/>
      <c r="J23" s="38"/>
      <c r="K23" s="38"/>
      <c r="L23" s="38"/>
      <c r="M23" s="38"/>
      <c r="N23" s="38"/>
      <c r="O23" s="38"/>
      <c r="P23" s="32">
        <f t="shared" si="1"/>
        <v>35</v>
      </c>
      <c r="Q23" s="29" t="e">
        <f>#REF!/#REF!</f>
        <v>#REF!</v>
      </c>
      <c r="R23" s="30">
        <f>P23/C23</f>
        <v>1</v>
      </c>
      <c r="S23" s="32">
        <v>35</v>
      </c>
      <c r="T23" s="22"/>
    </row>
    <row r="24" spans="1:24" ht="15.75" customHeight="1" x14ac:dyDescent="0.25">
      <c r="A24" s="1" t="s">
        <v>21</v>
      </c>
      <c r="B24" s="1"/>
      <c r="C24" s="32">
        <v>175</v>
      </c>
      <c r="D24" s="6"/>
      <c r="E24" s="6"/>
      <c r="F24" s="6"/>
      <c r="G24" s="6">
        <v>75</v>
      </c>
      <c r="H24" s="38"/>
      <c r="I24" s="6">
        <v>30</v>
      </c>
      <c r="J24" s="39"/>
      <c r="K24" s="6"/>
      <c r="L24" s="60"/>
      <c r="M24" s="6">
        <v>60</v>
      </c>
      <c r="N24" s="38"/>
      <c r="O24" s="38"/>
      <c r="P24" s="32">
        <f t="shared" si="1"/>
        <v>165</v>
      </c>
      <c r="Q24" s="29" t="e">
        <f>#REF!/#REF!</f>
        <v>#REF!</v>
      </c>
      <c r="R24" s="30">
        <f>P24/C24</f>
        <v>0.94285714285714284</v>
      </c>
      <c r="S24" s="32">
        <v>175</v>
      </c>
      <c r="T24" s="22"/>
    </row>
    <row r="25" spans="1:24" ht="15.75" customHeight="1" x14ac:dyDescent="0.25">
      <c r="A25" s="12" t="s">
        <v>22</v>
      </c>
      <c r="B25" s="1"/>
      <c r="C25" s="31"/>
      <c r="D25" s="6"/>
      <c r="E25" s="6"/>
      <c r="F25" s="6"/>
      <c r="G25" s="6"/>
      <c r="H25" s="38"/>
      <c r="I25" s="38"/>
      <c r="J25" s="38"/>
      <c r="K25" s="38"/>
      <c r="L25" s="38"/>
      <c r="M25" s="38"/>
      <c r="N25" s="38"/>
      <c r="O25" s="38"/>
      <c r="P25" s="31"/>
      <c r="Q25" s="29"/>
      <c r="R25" s="30"/>
      <c r="S25" s="31"/>
      <c r="T25" s="22"/>
    </row>
    <row r="26" spans="1:24" ht="15.75" customHeight="1" x14ac:dyDescent="0.25">
      <c r="A26" s="1"/>
      <c r="B26" s="1" t="s">
        <v>23</v>
      </c>
      <c r="C26" s="32"/>
      <c r="D26" s="6"/>
      <c r="E26" s="6"/>
      <c r="F26" s="6"/>
      <c r="G26" s="6"/>
      <c r="H26" s="38"/>
      <c r="I26" s="38"/>
      <c r="J26" s="38"/>
      <c r="K26" s="38"/>
      <c r="L26" s="38"/>
      <c r="M26" s="6">
        <v>400</v>
      </c>
      <c r="N26" s="38"/>
      <c r="O26" s="38"/>
      <c r="P26" s="32">
        <f t="shared" si="1"/>
        <v>400</v>
      </c>
      <c r="Q26" s="29" t="e">
        <f>#REF!/#REF!</f>
        <v>#REF!</v>
      </c>
      <c r="R26" s="30" t="e">
        <f>P26/C26</f>
        <v>#DIV/0!</v>
      </c>
      <c r="S26" s="32"/>
      <c r="T26" s="22"/>
    </row>
    <row r="27" spans="1:24" ht="15.75" customHeight="1" x14ac:dyDescent="0.25">
      <c r="A27" s="1"/>
      <c r="B27" s="1" t="s">
        <v>60</v>
      </c>
      <c r="C27" s="32"/>
      <c r="D27" s="6"/>
      <c r="E27" s="6"/>
      <c r="F27" s="6"/>
      <c r="G27" s="6">
        <v>500</v>
      </c>
      <c r="H27" s="38"/>
      <c r="I27" s="38"/>
      <c r="J27" s="38"/>
      <c r="K27" s="38"/>
      <c r="L27" s="38"/>
      <c r="M27" s="38"/>
      <c r="N27" s="38"/>
      <c r="O27" s="38"/>
      <c r="P27" s="32">
        <f t="shared" si="1"/>
        <v>500</v>
      </c>
      <c r="Q27" s="29"/>
      <c r="R27" s="30"/>
      <c r="S27" s="32"/>
      <c r="T27" s="22"/>
    </row>
    <row r="28" spans="1:24" ht="15.75" customHeight="1" x14ac:dyDescent="0.25">
      <c r="A28" s="1"/>
      <c r="B28" s="1" t="s">
        <v>24</v>
      </c>
      <c r="C28" s="32">
        <v>200</v>
      </c>
      <c r="D28" s="6"/>
      <c r="E28" s="6"/>
      <c r="F28" s="6"/>
      <c r="G28" s="6"/>
      <c r="H28" s="38"/>
      <c r="I28" s="38"/>
      <c r="J28" s="38"/>
      <c r="K28" s="38"/>
      <c r="L28" s="38"/>
      <c r="M28" s="38"/>
      <c r="N28" s="38"/>
      <c r="O28" s="38"/>
      <c r="P28" s="32">
        <f t="shared" si="1"/>
        <v>0</v>
      </c>
      <c r="Q28" s="29">
        <v>0</v>
      </c>
      <c r="R28" s="30">
        <f>P28/C28</f>
        <v>0</v>
      </c>
      <c r="S28" s="32">
        <v>200</v>
      </c>
      <c r="T28" s="22"/>
    </row>
    <row r="29" spans="1:24" ht="15.75" customHeight="1" x14ac:dyDescent="0.25">
      <c r="A29" s="1"/>
      <c r="B29" s="1" t="s">
        <v>25</v>
      </c>
      <c r="C29" s="32">
        <v>200</v>
      </c>
      <c r="D29" s="6"/>
      <c r="E29" s="6"/>
      <c r="F29" s="6"/>
      <c r="G29" s="6"/>
      <c r="H29" s="38"/>
      <c r="I29" s="38"/>
      <c r="J29" s="38"/>
      <c r="K29" s="38"/>
      <c r="L29" s="38"/>
      <c r="M29" s="38"/>
      <c r="N29" s="38"/>
      <c r="O29" s="38"/>
      <c r="P29" s="32">
        <f t="shared" si="1"/>
        <v>0</v>
      </c>
      <c r="Q29" s="29" t="e">
        <f>#REF!/#REF!</f>
        <v>#REF!</v>
      </c>
      <c r="R29" s="30">
        <f>P29/C29</f>
        <v>0</v>
      </c>
      <c r="S29" s="32">
        <v>200</v>
      </c>
      <c r="T29" s="22"/>
    </row>
    <row r="30" spans="1:24" ht="15.75" customHeight="1" x14ac:dyDescent="0.25">
      <c r="A30" s="1" t="s">
        <v>26</v>
      </c>
      <c r="B30" s="1"/>
      <c r="C30" s="32">
        <v>100</v>
      </c>
      <c r="D30" s="6"/>
      <c r="E30" s="6"/>
      <c r="F30" s="6"/>
      <c r="G30" s="6"/>
      <c r="H30" s="38"/>
      <c r="I30" s="38"/>
      <c r="J30" s="38"/>
      <c r="K30" s="38"/>
      <c r="L30" s="38"/>
      <c r="M30" s="38"/>
      <c r="N30" s="38"/>
      <c r="O30" s="38"/>
      <c r="P30" s="32">
        <f t="shared" si="1"/>
        <v>0</v>
      </c>
      <c r="Q30" s="29" t="e">
        <f>#REF!/#REF!</f>
        <v>#REF!</v>
      </c>
      <c r="R30" s="30">
        <f>P30/C30</f>
        <v>0</v>
      </c>
      <c r="S30" s="32">
        <v>100</v>
      </c>
      <c r="T30" s="22"/>
    </row>
    <row r="31" spans="1:24" ht="15.75" customHeight="1" x14ac:dyDescent="0.25">
      <c r="A31" s="1" t="s">
        <v>27</v>
      </c>
      <c r="B31" s="1"/>
      <c r="C31" s="32">
        <v>250</v>
      </c>
      <c r="D31" s="6"/>
      <c r="E31" s="6"/>
      <c r="F31" s="6"/>
      <c r="G31" s="6"/>
      <c r="H31" s="38"/>
      <c r="I31" s="38"/>
      <c r="J31" s="38"/>
      <c r="K31" s="38"/>
      <c r="L31" s="38"/>
      <c r="M31" s="38"/>
      <c r="N31" s="38"/>
      <c r="O31" s="38"/>
      <c r="P31" s="32">
        <f t="shared" si="1"/>
        <v>0</v>
      </c>
      <c r="Q31" s="29" t="e">
        <f>#REF!/#REF!</f>
        <v>#REF!</v>
      </c>
      <c r="R31" s="30">
        <f>P31/C31</f>
        <v>0</v>
      </c>
      <c r="S31" s="32">
        <v>250</v>
      </c>
      <c r="T31" s="22"/>
    </row>
    <row r="32" spans="1:24" s="23" customFormat="1" ht="15.75" customHeight="1" x14ac:dyDescent="0.25">
      <c r="A32" s="1" t="s">
        <v>28</v>
      </c>
      <c r="B32" s="1"/>
      <c r="C32" s="32"/>
      <c r="D32" s="6"/>
      <c r="E32" s="6">
        <v>2.5</v>
      </c>
      <c r="F32" s="6">
        <f>0.5+6.9</f>
        <v>7.4</v>
      </c>
      <c r="G32" s="6"/>
      <c r="H32" s="6">
        <v>4.33</v>
      </c>
      <c r="I32" s="38"/>
      <c r="J32" s="6">
        <v>12.13</v>
      </c>
      <c r="K32" s="38"/>
      <c r="L32" s="38"/>
      <c r="M32" s="38"/>
      <c r="N32" s="38"/>
      <c r="O32" s="6">
        <v>6.64</v>
      </c>
      <c r="P32" s="32">
        <f t="shared" si="1"/>
        <v>33</v>
      </c>
      <c r="Q32" s="29">
        <v>0</v>
      </c>
      <c r="R32" s="30">
        <v>0</v>
      </c>
      <c r="S32" s="32"/>
      <c r="T32" s="22"/>
      <c r="V32" s="15"/>
      <c r="W32" s="15"/>
      <c r="X32" s="15"/>
    </row>
    <row r="33" spans="1:24" s="23" customFormat="1" ht="15.75" customHeight="1" x14ac:dyDescent="0.25">
      <c r="A33" s="9" t="s">
        <v>11</v>
      </c>
      <c r="B33" s="9"/>
      <c r="C33" s="32">
        <f>SUM(C10:C32)</f>
        <v>7162.0000000000009</v>
      </c>
      <c r="D33" s="13">
        <f t="shared" ref="D33:O33" si="2">SUM(D10:D32)</f>
        <v>371.4</v>
      </c>
      <c r="E33" s="13">
        <f t="shared" si="2"/>
        <v>265.05</v>
      </c>
      <c r="F33" s="13">
        <f t="shared" si="2"/>
        <v>421.91999999999996</v>
      </c>
      <c r="G33" s="13">
        <f t="shared" si="2"/>
        <v>2011.21</v>
      </c>
      <c r="H33" s="13">
        <f t="shared" si="2"/>
        <v>290.15000000000003</v>
      </c>
      <c r="I33" s="13">
        <f t="shared" si="2"/>
        <v>1156.3600000000001</v>
      </c>
      <c r="J33" s="13">
        <f t="shared" si="2"/>
        <v>244.66000000000003</v>
      </c>
      <c r="K33" s="13">
        <f>SUM(K10:K32)</f>
        <v>2596.1600000000003</v>
      </c>
      <c r="L33" s="13">
        <f>SUM(L10:L32)</f>
        <v>284.56</v>
      </c>
      <c r="M33" s="13">
        <f t="shared" si="2"/>
        <v>872.16000000000008</v>
      </c>
      <c r="N33" s="13">
        <f t="shared" si="2"/>
        <v>182.36</v>
      </c>
      <c r="O33" s="13">
        <f t="shared" si="2"/>
        <v>504.5</v>
      </c>
      <c r="P33" s="32">
        <f>SUM(D33:O33)</f>
        <v>9200.4900000000016</v>
      </c>
      <c r="Q33" s="29" t="e">
        <f>#REF!/#REF!</f>
        <v>#REF!</v>
      </c>
      <c r="R33" s="33">
        <f>P33/C33</f>
        <v>1.2846258028483664</v>
      </c>
      <c r="S33" s="32">
        <f>SUM(S10:S32)</f>
        <v>7162.0000000000009</v>
      </c>
      <c r="T33" s="22"/>
      <c r="V33" s="15"/>
      <c r="W33" s="15"/>
      <c r="X33" s="15"/>
    </row>
    <row r="34" spans="1:24" s="23" customFormat="1" ht="15.75" customHeight="1" x14ac:dyDescent="0.25">
      <c r="A34" s="15"/>
      <c r="B34" s="15"/>
      <c r="D34" s="21"/>
      <c r="E34" s="21"/>
      <c r="F34" s="21"/>
      <c r="G34" s="21"/>
      <c r="H34" s="21"/>
      <c r="I34" s="24"/>
      <c r="J34" s="24"/>
      <c r="K34" s="21"/>
      <c r="L34" s="21"/>
      <c r="M34" s="21"/>
      <c r="N34" s="21"/>
      <c r="O34" s="21"/>
      <c r="Q34" s="21"/>
      <c r="R34" s="21"/>
      <c r="V34" s="15"/>
      <c r="W34" s="15"/>
      <c r="X34" s="15"/>
    </row>
    <row r="35" spans="1:24" ht="15.75" customHeight="1" x14ac:dyDescent="0.25">
      <c r="A35" s="15" t="s">
        <v>55</v>
      </c>
      <c r="B35" s="15" t="s">
        <v>56</v>
      </c>
      <c r="D35" s="40">
        <f>+C4</f>
        <v>9041.02</v>
      </c>
      <c r="E35" s="19">
        <f t="shared" ref="E35:L35" si="3">+D37</f>
        <v>14069.62</v>
      </c>
      <c r="F35" s="19">
        <f t="shared" si="3"/>
        <v>13804.570000000002</v>
      </c>
      <c r="G35" s="19">
        <f t="shared" si="3"/>
        <v>13626.110000000002</v>
      </c>
      <c r="H35" s="19">
        <f t="shared" si="3"/>
        <v>11614.900000000001</v>
      </c>
      <c r="I35" s="19">
        <f t="shared" si="3"/>
        <v>11324.750000000002</v>
      </c>
      <c r="J35" s="19">
        <f t="shared" si="3"/>
        <v>10168.390000000001</v>
      </c>
      <c r="K35" s="19">
        <f t="shared" si="3"/>
        <v>10423.730000000001</v>
      </c>
      <c r="L35" s="19">
        <f t="shared" si="3"/>
        <v>7827.5700000000015</v>
      </c>
      <c r="M35" s="19">
        <f t="shared" ref="M35" si="4">+L37</f>
        <v>7543.0100000000011</v>
      </c>
      <c r="N35" s="19">
        <f t="shared" ref="N35" si="5">+M37</f>
        <v>6670.8500000000013</v>
      </c>
      <c r="O35" s="25" t="s">
        <v>46</v>
      </c>
      <c r="P35" s="40">
        <f>+P4+P8-P33</f>
        <v>5983.989999999998</v>
      </c>
      <c r="S35" s="40">
        <f>+S4+S8-S33</f>
        <v>4846.9899999999971</v>
      </c>
      <c r="U35" s="25"/>
      <c r="V35" s="25"/>
    </row>
    <row r="36" spans="1:24" ht="15.75" customHeight="1" x14ac:dyDescent="0.25">
      <c r="B36" s="15" t="s">
        <v>63</v>
      </c>
      <c r="C36" s="41"/>
      <c r="D36" s="19">
        <f>+D8-D33</f>
        <v>5028.6000000000004</v>
      </c>
      <c r="E36" s="19">
        <f>+E8-E33</f>
        <v>-265.05</v>
      </c>
      <c r="F36" s="19">
        <f>+F6-F33</f>
        <v>-178.45999999999995</v>
      </c>
      <c r="G36" s="19">
        <f>+G6-G33</f>
        <v>-2011.21</v>
      </c>
      <c r="H36" s="19">
        <f>+H6-H33</f>
        <v>-290.15000000000003</v>
      </c>
      <c r="I36" s="19">
        <f>+I6-I33</f>
        <v>-1156.3600000000001</v>
      </c>
      <c r="J36" s="19">
        <f>+J8-J33</f>
        <v>255.33999999999997</v>
      </c>
      <c r="K36" s="19">
        <f>+K8-K33</f>
        <v>-2596.1600000000003</v>
      </c>
      <c r="L36" s="19">
        <f>+L8-L33</f>
        <v>-284.56</v>
      </c>
      <c r="M36" s="19">
        <f t="shared" ref="M36:N36" si="6">+M8-M33</f>
        <v>-872.16000000000008</v>
      </c>
      <c r="N36" s="19">
        <f t="shared" si="6"/>
        <v>-182.36</v>
      </c>
      <c r="O36" s="25" t="s">
        <v>47</v>
      </c>
      <c r="P36" s="66">
        <f>P37/P33*12</f>
        <v>7.8047886579953856</v>
      </c>
      <c r="S36" s="41">
        <f>S35/S33*12</f>
        <v>8.1211784417760349</v>
      </c>
      <c r="U36" s="25"/>
      <c r="V36" s="25"/>
    </row>
    <row r="37" spans="1:24" ht="15.75" customHeight="1" x14ac:dyDescent="0.25">
      <c r="B37" s="15" t="s">
        <v>58</v>
      </c>
      <c r="D37" s="19">
        <f t="shared" ref="D37:J37" si="7">+D36+D35</f>
        <v>14069.62</v>
      </c>
      <c r="E37" s="19">
        <f t="shared" si="7"/>
        <v>13804.570000000002</v>
      </c>
      <c r="F37" s="19">
        <f t="shared" si="7"/>
        <v>13626.110000000002</v>
      </c>
      <c r="G37" s="19">
        <f t="shared" si="7"/>
        <v>11614.900000000001</v>
      </c>
      <c r="H37" s="19">
        <f t="shared" si="7"/>
        <v>11324.750000000002</v>
      </c>
      <c r="I37" s="19">
        <f t="shared" si="7"/>
        <v>10168.390000000001</v>
      </c>
      <c r="J37" s="19">
        <f t="shared" si="7"/>
        <v>10423.730000000001</v>
      </c>
      <c r="K37" s="19">
        <f t="shared" ref="K37:L37" si="8">+K36+K35</f>
        <v>7827.5700000000015</v>
      </c>
      <c r="L37" s="19">
        <f t="shared" si="8"/>
        <v>7543.0100000000011</v>
      </c>
      <c r="M37" s="19">
        <f t="shared" ref="M37:N37" si="9">+M36+M35</f>
        <v>6670.8500000000013</v>
      </c>
      <c r="N37" s="19">
        <f t="shared" si="9"/>
        <v>6488.4900000000016</v>
      </c>
      <c r="P37" s="40">
        <f>+P4+P8-P33</f>
        <v>5983.989999999998</v>
      </c>
    </row>
  </sheetData>
  <mergeCells count="1">
    <mergeCell ref="E2:O2"/>
  </mergeCells>
  <pageMargins left="0.19685039370078741" right="0.59055118110236227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B1555-FA83-4174-B428-A1F42B55B394}">
  <dimension ref="A1:I8"/>
  <sheetViews>
    <sheetView workbookViewId="0">
      <selection sqref="A1:J10"/>
    </sheetView>
  </sheetViews>
  <sheetFormatPr defaultRowHeight="13.2" x14ac:dyDescent="0.25"/>
  <cols>
    <col min="1" max="1" width="10.109375" bestFit="1" customWidth="1"/>
    <col min="3" max="3" width="17.6640625" bestFit="1" customWidth="1"/>
    <col min="4" max="4" width="13.21875" bestFit="1" customWidth="1"/>
    <col min="5" max="6" width="10.44140625" bestFit="1" customWidth="1"/>
    <col min="7" max="7" width="7.88671875" bestFit="1" customWidth="1"/>
    <col min="8" max="9" width="11.44140625" bestFit="1" customWidth="1"/>
  </cols>
  <sheetData>
    <row r="1" spans="1:9" ht="14.4" x14ac:dyDescent="0.3">
      <c r="A1" s="75" t="s">
        <v>75</v>
      </c>
    </row>
    <row r="2" spans="1:9" ht="14.4" x14ac:dyDescent="0.3">
      <c r="A2" s="75" t="s">
        <v>0</v>
      </c>
    </row>
    <row r="3" spans="1:9" x14ac:dyDescent="0.25">
      <c r="A3" s="76" t="s">
        <v>69</v>
      </c>
      <c r="B3" s="76"/>
      <c r="C3" s="76" t="s">
        <v>70</v>
      </c>
      <c r="D3" s="76" t="s">
        <v>71</v>
      </c>
      <c r="E3" s="76" t="s">
        <v>9</v>
      </c>
      <c r="F3" s="76" t="s">
        <v>28</v>
      </c>
      <c r="G3" s="76" t="s">
        <v>29</v>
      </c>
      <c r="H3" s="76" t="s">
        <v>72</v>
      </c>
    </row>
    <row r="4" spans="1:9" ht="14.4" x14ac:dyDescent="0.3">
      <c r="B4" s="77"/>
      <c r="E4" s="78"/>
      <c r="F4" s="78"/>
      <c r="G4" s="78"/>
      <c r="H4" s="79"/>
    </row>
    <row r="5" spans="1:9" ht="14.4" x14ac:dyDescent="0.3">
      <c r="A5" s="85">
        <v>45040</v>
      </c>
      <c r="B5" s="77"/>
      <c r="C5" t="s">
        <v>74</v>
      </c>
      <c r="D5" t="s">
        <v>9</v>
      </c>
      <c r="E5" s="78">
        <v>5400</v>
      </c>
      <c r="F5" s="78"/>
      <c r="G5" s="78"/>
      <c r="H5" s="79">
        <f>SUM(E5:G5)</f>
        <v>5400</v>
      </c>
    </row>
    <row r="6" spans="1:9" ht="14.4" x14ac:dyDescent="0.3">
      <c r="A6" s="85">
        <v>45092</v>
      </c>
      <c r="B6" s="77"/>
      <c r="C6" t="s">
        <v>64</v>
      </c>
      <c r="D6" t="s">
        <v>73</v>
      </c>
      <c r="E6" s="78"/>
      <c r="F6" s="78">
        <v>243.46</v>
      </c>
      <c r="G6" s="78"/>
      <c r="H6" s="80">
        <f>SUM(E6:G6)</f>
        <v>243.46</v>
      </c>
    </row>
    <row r="7" spans="1:9" ht="14.4" x14ac:dyDescent="0.3">
      <c r="A7" s="86">
        <v>45216</v>
      </c>
      <c r="C7" s="81" t="s">
        <v>74</v>
      </c>
      <c r="D7" s="81" t="s">
        <v>9</v>
      </c>
      <c r="E7" s="82">
        <v>500</v>
      </c>
      <c r="F7" s="82"/>
      <c r="G7" s="82"/>
      <c r="H7" s="80">
        <f>SUM(E7:G7)</f>
        <v>500</v>
      </c>
    </row>
    <row r="8" spans="1:9" ht="14.4" x14ac:dyDescent="0.3">
      <c r="E8" s="83">
        <f>SUM(E4:E7)</f>
        <v>5900</v>
      </c>
      <c r="F8" s="83">
        <f>SUM(F4:F7)</f>
        <v>243.46</v>
      </c>
      <c r="G8" s="83">
        <f>SUM(G4:G7)</f>
        <v>0</v>
      </c>
      <c r="H8" s="83">
        <f>SUM(H4:H7)</f>
        <v>6143.46</v>
      </c>
      <c r="I8" s="84">
        <f>SUM(E8:G8)</f>
        <v>6143.46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C1FF-412B-4E75-AB57-07747B5756E2}">
  <sheetPr>
    <pageSetUpPr fitToPage="1"/>
  </sheetPr>
  <dimension ref="A1:T66"/>
  <sheetViews>
    <sheetView topLeftCell="D41" workbookViewId="0">
      <selection sqref="A1:P37"/>
    </sheetView>
  </sheetViews>
  <sheetFormatPr defaultRowHeight="13.2" x14ac:dyDescent="0.25"/>
  <cols>
    <col min="1" max="1" width="10.33203125" customWidth="1"/>
    <col min="2" max="2" width="17" bestFit="1" customWidth="1"/>
    <col min="3" max="3" width="26.33203125" bestFit="1" customWidth="1"/>
    <col min="4" max="4" width="9.109375" bestFit="1" customWidth="1"/>
    <col min="20" max="20" width="9.109375" bestFit="1" customWidth="1"/>
  </cols>
  <sheetData>
    <row r="1" spans="1:20" ht="14.4" x14ac:dyDescent="0.3">
      <c r="A1" s="65" t="s">
        <v>75</v>
      </c>
      <c r="C1" s="75"/>
    </row>
    <row r="2" spans="1:20" ht="14.4" x14ac:dyDescent="0.3">
      <c r="A2" s="65" t="s">
        <v>12</v>
      </c>
      <c r="C2" s="75"/>
      <c r="S2" s="44"/>
    </row>
    <row r="3" spans="1:20" ht="30.6" x14ac:dyDescent="0.3">
      <c r="A3" s="87" t="s">
        <v>69</v>
      </c>
      <c r="B3" s="87" t="s">
        <v>76</v>
      </c>
      <c r="C3" s="87" t="s">
        <v>77</v>
      </c>
      <c r="D3" s="87" t="s">
        <v>13</v>
      </c>
      <c r="E3" s="88" t="s">
        <v>14</v>
      </c>
      <c r="F3" s="88" t="s">
        <v>15</v>
      </c>
      <c r="G3" s="88" t="s">
        <v>78</v>
      </c>
      <c r="H3" s="88" t="s">
        <v>86</v>
      </c>
      <c r="I3" s="88" t="s">
        <v>80</v>
      </c>
      <c r="J3" s="88" t="s">
        <v>87</v>
      </c>
      <c r="K3" s="88" t="s">
        <v>88</v>
      </c>
      <c r="L3" s="88" t="s">
        <v>18</v>
      </c>
      <c r="M3" s="88" t="s">
        <v>19</v>
      </c>
      <c r="N3" s="88" t="s">
        <v>79</v>
      </c>
      <c r="O3" s="88" t="s">
        <v>110</v>
      </c>
      <c r="P3" s="88" t="s">
        <v>89</v>
      </c>
      <c r="Q3" s="88" t="s">
        <v>90</v>
      </c>
      <c r="R3" s="88" t="s">
        <v>28</v>
      </c>
      <c r="S3" s="88" t="s">
        <v>72</v>
      </c>
      <c r="T3" s="75"/>
    </row>
    <row r="4" spans="1:20" ht="14.4" x14ac:dyDescent="0.3">
      <c r="A4" s="86">
        <v>45392</v>
      </c>
      <c r="B4" t="s">
        <v>81</v>
      </c>
      <c r="C4" t="s">
        <v>18</v>
      </c>
      <c r="D4" s="64"/>
      <c r="E4" s="64"/>
      <c r="F4" s="64"/>
      <c r="G4" s="89"/>
      <c r="H4" s="89"/>
      <c r="I4" s="89"/>
      <c r="J4" s="89"/>
      <c r="K4" s="90"/>
      <c r="L4" s="90">
        <v>166.04</v>
      </c>
      <c r="M4" s="90"/>
      <c r="N4" s="90"/>
      <c r="O4" s="90"/>
      <c r="P4" s="90"/>
      <c r="Q4" s="90"/>
      <c r="R4" s="90"/>
      <c r="S4" s="91">
        <f>SUM(D4:R4)</f>
        <v>166.04</v>
      </c>
    </row>
    <row r="5" spans="1:20" ht="14.4" x14ac:dyDescent="0.3">
      <c r="A5" s="86">
        <v>45036</v>
      </c>
      <c r="B5" t="s">
        <v>81</v>
      </c>
      <c r="C5" t="s">
        <v>91</v>
      </c>
      <c r="D5" s="64"/>
      <c r="E5" s="64"/>
      <c r="F5" s="64"/>
      <c r="G5" s="89">
        <v>161.56</v>
      </c>
      <c r="H5" s="89"/>
      <c r="I5" s="89"/>
      <c r="J5" s="89"/>
      <c r="K5" s="90"/>
      <c r="L5" s="90"/>
      <c r="M5" s="90"/>
      <c r="N5" s="90"/>
      <c r="O5" s="90"/>
      <c r="P5" s="90"/>
      <c r="Q5" s="90"/>
      <c r="R5" s="90"/>
      <c r="S5" s="91">
        <f>SUM(D5:R5)</f>
        <v>161.56</v>
      </c>
    </row>
    <row r="6" spans="1:20" ht="14.4" x14ac:dyDescent="0.3">
      <c r="A6" s="86">
        <v>45036</v>
      </c>
      <c r="B6" t="s">
        <v>64</v>
      </c>
      <c r="C6" t="s">
        <v>99</v>
      </c>
      <c r="D6" s="64"/>
      <c r="E6" s="64"/>
      <c r="F6" s="64"/>
      <c r="G6" s="64">
        <v>35.799999999999997</v>
      </c>
      <c r="H6" s="64"/>
      <c r="I6" s="64"/>
      <c r="J6" s="64"/>
      <c r="K6" s="90"/>
      <c r="L6" s="90"/>
      <c r="M6" s="90"/>
      <c r="N6" s="90"/>
      <c r="O6" s="90"/>
      <c r="P6" s="90"/>
      <c r="Q6" s="90"/>
      <c r="R6" s="90"/>
      <c r="S6" s="91">
        <f>SUM(D6:R6)</f>
        <v>35.799999999999997</v>
      </c>
    </row>
    <row r="7" spans="1:20" ht="14.4" x14ac:dyDescent="0.3">
      <c r="A7" s="86">
        <v>45037</v>
      </c>
      <c r="B7" t="s">
        <v>92</v>
      </c>
      <c r="C7" t="s">
        <v>93</v>
      </c>
      <c r="D7" s="64"/>
      <c r="E7" s="64"/>
      <c r="F7" s="64"/>
      <c r="G7" s="64"/>
      <c r="H7" s="64">
        <v>8</v>
      </c>
      <c r="I7" s="64"/>
      <c r="J7" s="64"/>
      <c r="K7" s="90"/>
      <c r="L7" s="90"/>
      <c r="M7" s="90"/>
      <c r="N7" s="90"/>
      <c r="O7" s="90"/>
      <c r="P7" s="90"/>
      <c r="Q7" s="90"/>
      <c r="R7" s="90"/>
      <c r="S7" s="91">
        <f>SUM(D7:R7)</f>
        <v>8</v>
      </c>
      <c r="T7" s="64">
        <f>SUM(S4:S7)</f>
        <v>371.40000000000003</v>
      </c>
    </row>
    <row r="8" spans="1:20" ht="14.4" x14ac:dyDescent="0.3">
      <c r="A8" s="86">
        <v>45055</v>
      </c>
      <c r="B8" t="s">
        <v>81</v>
      </c>
      <c r="C8" t="s">
        <v>94</v>
      </c>
      <c r="D8" s="89"/>
      <c r="E8" s="89"/>
      <c r="F8" s="89"/>
      <c r="G8" s="90"/>
      <c r="H8" s="90">
        <v>16.440000000000001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1">
        <f>SUM(D8:R8)</f>
        <v>16.440000000000001</v>
      </c>
    </row>
    <row r="9" spans="1:20" ht="14.4" x14ac:dyDescent="0.3">
      <c r="A9" s="86">
        <v>45055</v>
      </c>
      <c r="B9" t="s">
        <v>95</v>
      </c>
      <c r="C9" t="s">
        <v>96</v>
      </c>
      <c r="D9" s="89"/>
      <c r="E9" s="89"/>
      <c r="F9" s="89"/>
      <c r="G9" s="90"/>
      <c r="H9" s="90">
        <f>43.25-2.5</f>
        <v>40.75</v>
      </c>
      <c r="I9" s="90"/>
      <c r="J9" s="90"/>
      <c r="K9" s="90"/>
      <c r="L9" s="90"/>
      <c r="M9" s="90"/>
      <c r="N9" s="90"/>
      <c r="O9" s="90"/>
      <c r="P9" s="90"/>
      <c r="Q9" s="90"/>
      <c r="R9" s="90">
        <v>2.5</v>
      </c>
      <c r="S9" s="91">
        <f>SUM(D9:R9)</f>
        <v>43.25</v>
      </c>
    </row>
    <row r="10" spans="1:20" ht="14.4" x14ac:dyDescent="0.3">
      <c r="A10" s="86">
        <v>45055</v>
      </c>
      <c r="B10" t="s">
        <v>81</v>
      </c>
      <c r="C10" t="s">
        <v>97</v>
      </c>
      <c r="D10" s="89"/>
      <c r="E10" s="89"/>
      <c r="F10" s="89"/>
      <c r="G10" s="90">
        <v>161.56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1">
        <f>SUM(D10:R10)</f>
        <v>161.56</v>
      </c>
    </row>
    <row r="11" spans="1:20" ht="14.4" x14ac:dyDescent="0.3">
      <c r="A11" s="86">
        <v>45055</v>
      </c>
      <c r="B11" s="81" t="s">
        <v>64</v>
      </c>
      <c r="C11" s="81" t="s">
        <v>98</v>
      </c>
      <c r="D11" s="92"/>
      <c r="E11" s="92"/>
      <c r="F11" s="92"/>
      <c r="G11" s="91">
        <v>35.799999999999997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>
        <f>SUM(D11:R11)</f>
        <v>35.799999999999997</v>
      </c>
    </row>
    <row r="12" spans="1:20" x14ac:dyDescent="0.25">
      <c r="A12" s="86">
        <v>45067</v>
      </c>
      <c r="B12" t="s">
        <v>92</v>
      </c>
      <c r="C12" t="s">
        <v>61</v>
      </c>
      <c r="D12" s="64"/>
      <c r="E12" s="64"/>
      <c r="F12" s="64"/>
      <c r="G12" s="64"/>
      <c r="H12" s="64">
        <v>8</v>
      </c>
      <c r="I12" s="64"/>
      <c r="J12" s="64"/>
      <c r="K12" s="90"/>
      <c r="L12" s="89"/>
      <c r="M12" s="90"/>
      <c r="N12" s="90"/>
      <c r="O12" s="90"/>
      <c r="P12" s="90"/>
      <c r="Q12" s="90"/>
      <c r="R12" s="90"/>
      <c r="S12" s="90">
        <f>SUM(D12:R12)</f>
        <v>8</v>
      </c>
      <c r="T12" s="64">
        <f>SUM(S8:S12)</f>
        <v>265.05</v>
      </c>
    </row>
    <row r="13" spans="1:20" x14ac:dyDescent="0.25">
      <c r="A13" s="86">
        <v>45077</v>
      </c>
      <c r="B13" t="s">
        <v>81</v>
      </c>
      <c r="C13" t="s">
        <v>94</v>
      </c>
      <c r="D13" s="64"/>
      <c r="E13" s="64"/>
      <c r="F13" s="64"/>
      <c r="G13" s="90"/>
      <c r="H13" s="90">
        <v>10.65</v>
      </c>
      <c r="I13" s="90"/>
      <c r="J13" s="90"/>
      <c r="K13" s="90"/>
      <c r="L13" s="90"/>
      <c r="M13" s="64"/>
      <c r="N13" s="90"/>
      <c r="O13" s="90"/>
      <c r="P13" s="90"/>
      <c r="Q13" s="90"/>
      <c r="R13" s="90"/>
      <c r="S13" s="90">
        <f>SUM(D13:R13)</f>
        <v>10.65</v>
      </c>
    </row>
    <row r="14" spans="1:20" ht="14.4" x14ac:dyDescent="0.3">
      <c r="A14" s="86">
        <v>45095</v>
      </c>
      <c r="B14" t="s">
        <v>81</v>
      </c>
      <c r="C14" t="s">
        <v>100</v>
      </c>
      <c r="D14" s="64"/>
      <c r="E14" s="64"/>
      <c r="F14" s="64"/>
      <c r="G14" s="90">
        <v>161.36000000000001</v>
      </c>
      <c r="H14" s="90"/>
      <c r="I14" s="90"/>
      <c r="J14" s="90"/>
      <c r="K14" s="90"/>
      <c r="L14" s="90"/>
      <c r="M14" s="64"/>
      <c r="N14" s="90"/>
      <c r="O14" s="90"/>
      <c r="P14" s="90"/>
      <c r="Q14" s="90"/>
      <c r="R14" s="90"/>
      <c r="S14" s="91">
        <f>SUM(D14:R14)</f>
        <v>161.36000000000001</v>
      </c>
    </row>
    <row r="15" spans="1:20" ht="14.4" x14ac:dyDescent="0.3">
      <c r="A15" s="86">
        <v>45095</v>
      </c>
      <c r="B15" t="s">
        <v>64</v>
      </c>
      <c r="C15" t="s">
        <v>101</v>
      </c>
      <c r="D15" s="64"/>
      <c r="E15" s="64"/>
      <c r="F15" s="64"/>
      <c r="G15" s="64">
        <v>36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91">
        <f>SUM(D15:R15)</f>
        <v>36</v>
      </c>
    </row>
    <row r="16" spans="1:20" ht="14.4" x14ac:dyDescent="0.3">
      <c r="A16" s="86">
        <v>45095</v>
      </c>
      <c r="B16" t="s">
        <v>95</v>
      </c>
      <c r="C16" t="s">
        <v>102</v>
      </c>
      <c r="D16" s="64"/>
      <c r="E16" s="64"/>
      <c r="F16" s="64"/>
      <c r="G16" s="64"/>
      <c r="H16" s="64">
        <v>2.5</v>
      </c>
      <c r="I16" s="64"/>
      <c r="J16" s="64"/>
      <c r="K16" s="64"/>
      <c r="L16" s="64"/>
      <c r="M16" s="64"/>
      <c r="N16" s="64"/>
      <c r="O16" s="64"/>
      <c r="P16" s="64"/>
      <c r="Q16" s="64"/>
      <c r="R16" s="64">
        <v>0.5</v>
      </c>
      <c r="S16" s="91">
        <f>SUM(D16:R16)</f>
        <v>3</v>
      </c>
    </row>
    <row r="17" spans="1:20" ht="14.4" x14ac:dyDescent="0.3">
      <c r="A17" s="86">
        <v>45095</v>
      </c>
      <c r="B17" t="s">
        <v>103</v>
      </c>
      <c r="C17" t="s">
        <v>104</v>
      </c>
      <c r="D17" s="64"/>
      <c r="E17" s="64"/>
      <c r="F17" s="64"/>
      <c r="G17" s="90"/>
      <c r="H17" s="90">
        <v>34.5</v>
      </c>
      <c r="I17" s="90"/>
      <c r="J17" s="90"/>
      <c r="K17" s="90"/>
      <c r="L17" s="90"/>
      <c r="M17" s="90"/>
      <c r="N17" s="90"/>
      <c r="O17" s="90"/>
      <c r="P17" s="64"/>
      <c r="Q17" s="90"/>
      <c r="R17" s="90">
        <v>6.9</v>
      </c>
      <c r="S17" s="91">
        <f>SUM(D17:R17)</f>
        <v>41.4</v>
      </c>
    </row>
    <row r="18" spans="1:20" ht="14.4" x14ac:dyDescent="0.3">
      <c r="A18" s="86">
        <v>45095</v>
      </c>
      <c r="B18" t="s">
        <v>82</v>
      </c>
      <c r="C18" t="s">
        <v>105</v>
      </c>
      <c r="D18" s="64"/>
      <c r="E18" s="64"/>
      <c r="F18" s="64"/>
      <c r="G18" s="93"/>
      <c r="H18" s="93"/>
      <c r="I18" s="93">
        <v>161.51</v>
      </c>
      <c r="J18" s="93"/>
      <c r="K18" s="93"/>
      <c r="L18" s="93"/>
      <c r="M18" s="93"/>
      <c r="N18" s="93"/>
      <c r="O18" s="93"/>
      <c r="P18" s="64"/>
      <c r="Q18" s="93"/>
      <c r="R18" s="93"/>
      <c r="S18" s="91">
        <f>SUM(D18:R18)</f>
        <v>161.51</v>
      </c>
    </row>
    <row r="19" spans="1:20" ht="14.4" x14ac:dyDescent="0.3">
      <c r="A19" s="86">
        <v>45098</v>
      </c>
      <c r="B19" t="s">
        <v>92</v>
      </c>
      <c r="C19" t="s">
        <v>93</v>
      </c>
      <c r="D19" s="64"/>
      <c r="E19" s="64"/>
      <c r="F19" s="64"/>
      <c r="G19" s="64"/>
      <c r="H19" s="64">
        <v>8</v>
      </c>
      <c r="I19" s="64"/>
      <c r="J19" s="64"/>
      <c r="K19" s="94"/>
      <c r="L19" s="94"/>
      <c r="M19" s="94"/>
      <c r="N19" s="94"/>
      <c r="O19" s="94"/>
      <c r="P19" s="94"/>
      <c r="Q19" s="94"/>
      <c r="R19" s="94"/>
      <c r="S19" s="91">
        <f>SUM(D19:R19)</f>
        <v>8</v>
      </c>
      <c r="T19" s="64">
        <f>SUM(S13:S19)</f>
        <v>421.92</v>
      </c>
    </row>
    <row r="20" spans="1:20" ht="14.4" x14ac:dyDescent="0.3">
      <c r="A20" s="86">
        <v>45121</v>
      </c>
      <c r="B20" t="s">
        <v>81</v>
      </c>
      <c r="C20" t="s">
        <v>106</v>
      </c>
      <c r="D20" s="64"/>
      <c r="E20" s="64"/>
      <c r="F20" s="64"/>
      <c r="G20" s="64">
        <v>161.56</v>
      </c>
      <c r="H20" s="64"/>
      <c r="I20" s="64"/>
      <c r="J20" s="64"/>
      <c r="K20" s="94"/>
      <c r="L20" s="94"/>
      <c r="M20" s="94"/>
      <c r="N20" s="94"/>
      <c r="O20" s="94"/>
      <c r="P20" s="94"/>
      <c r="Q20" s="94"/>
      <c r="R20" s="94"/>
      <c r="S20" s="91">
        <f>SUM(D20:R20)</f>
        <v>161.56</v>
      </c>
    </row>
    <row r="21" spans="1:20" ht="14.4" x14ac:dyDescent="0.3">
      <c r="A21" s="86">
        <v>45121</v>
      </c>
      <c r="B21" t="s">
        <v>64</v>
      </c>
      <c r="C21" t="s">
        <v>107</v>
      </c>
      <c r="D21" s="64"/>
      <c r="E21" s="64"/>
      <c r="F21" s="64"/>
      <c r="G21" s="64">
        <v>35.799999999999997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91">
        <f>SUM(D21:R21)</f>
        <v>35.799999999999997</v>
      </c>
    </row>
    <row r="22" spans="1:20" ht="14.4" x14ac:dyDescent="0.3">
      <c r="A22" s="86">
        <v>45121</v>
      </c>
      <c r="B22" t="s">
        <v>84</v>
      </c>
      <c r="C22" t="s">
        <v>17</v>
      </c>
      <c r="D22" s="64"/>
      <c r="E22" s="64"/>
      <c r="F22" s="64"/>
      <c r="G22" s="64"/>
      <c r="H22" s="64"/>
      <c r="I22" s="64"/>
      <c r="J22" s="64">
        <v>390.2</v>
      </c>
      <c r="K22" s="64"/>
      <c r="L22" s="64"/>
      <c r="M22" s="64"/>
      <c r="N22" s="64"/>
      <c r="O22" s="64"/>
      <c r="P22" s="64"/>
      <c r="Q22" s="64"/>
      <c r="R22" s="64"/>
      <c r="S22" s="91">
        <f>SUM(D22:R22)</f>
        <v>390.2</v>
      </c>
    </row>
    <row r="23" spans="1:20" ht="14.4" x14ac:dyDescent="0.3">
      <c r="A23" s="86">
        <v>45128</v>
      </c>
      <c r="B23" t="s">
        <v>92</v>
      </c>
      <c r="C23" t="s">
        <v>93</v>
      </c>
      <c r="D23" s="64"/>
      <c r="E23" s="64"/>
      <c r="F23" s="64"/>
      <c r="G23" s="64"/>
      <c r="H23" s="64">
        <v>8</v>
      </c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91">
        <f>SUM(D23:R23)</f>
        <v>8</v>
      </c>
    </row>
    <row r="24" spans="1:20" ht="14.4" x14ac:dyDescent="0.3">
      <c r="A24" s="86">
        <v>45132</v>
      </c>
      <c r="B24" t="s">
        <v>108</v>
      </c>
      <c r="C24" t="s">
        <v>17</v>
      </c>
      <c r="D24" s="64"/>
      <c r="E24" s="64"/>
      <c r="F24" s="64"/>
      <c r="G24" s="64"/>
      <c r="H24" s="64"/>
      <c r="I24" s="64"/>
      <c r="J24" s="64"/>
      <c r="K24" s="64">
        <v>805.65</v>
      </c>
      <c r="L24" s="64"/>
      <c r="M24" s="64"/>
      <c r="N24" s="64"/>
      <c r="O24" s="64"/>
      <c r="P24" s="64"/>
      <c r="Q24" s="64"/>
      <c r="R24" s="64"/>
      <c r="S24" s="91">
        <f>SUM(D24:R24)</f>
        <v>805.65</v>
      </c>
    </row>
    <row r="25" spans="1:20" ht="14.4" x14ac:dyDescent="0.3">
      <c r="A25" s="86">
        <v>45132</v>
      </c>
      <c r="B25" t="s">
        <v>108</v>
      </c>
      <c r="C25" t="s">
        <v>109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>
        <v>500</v>
      </c>
      <c r="R25" s="64"/>
      <c r="S25" s="91">
        <f>SUM(D25:R25)</f>
        <v>500</v>
      </c>
    </row>
    <row r="26" spans="1:20" ht="14.4" x14ac:dyDescent="0.3">
      <c r="A26" s="86">
        <v>45132</v>
      </c>
      <c r="B26" t="s">
        <v>108</v>
      </c>
      <c r="C26" t="s">
        <v>110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>
        <v>75</v>
      </c>
      <c r="P26" s="64"/>
      <c r="Q26" s="64"/>
      <c r="R26" s="64"/>
      <c r="S26" s="91">
        <f>SUM(D26:R26)</f>
        <v>75</v>
      </c>
    </row>
    <row r="27" spans="1:20" ht="14.4" x14ac:dyDescent="0.3">
      <c r="A27" s="86">
        <v>45135</v>
      </c>
      <c r="B27" t="s">
        <v>79</v>
      </c>
      <c r="C27" t="s">
        <v>79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35</v>
      </c>
      <c r="O27" s="64"/>
      <c r="P27" s="64"/>
      <c r="Q27" s="64"/>
      <c r="R27" s="64"/>
      <c r="S27" s="91">
        <f>SUM(D27:R27)</f>
        <v>35</v>
      </c>
      <c r="T27" s="64">
        <f>SUM(S20:S27)</f>
        <v>2011.21</v>
      </c>
    </row>
    <row r="28" spans="1:20" ht="14.4" x14ac:dyDescent="0.3">
      <c r="A28" s="86">
        <v>45153</v>
      </c>
      <c r="B28" t="s">
        <v>81</v>
      </c>
      <c r="C28" t="s">
        <v>111</v>
      </c>
      <c r="D28" s="64"/>
      <c r="E28" s="64"/>
      <c r="F28" s="64"/>
      <c r="G28" s="64">
        <v>161.56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91">
        <f>SUM(D28:R28)</f>
        <v>161.56</v>
      </c>
    </row>
    <row r="29" spans="1:20" ht="14.4" x14ac:dyDescent="0.3">
      <c r="A29" s="86">
        <v>45153</v>
      </c>
      <c r="B29" t="s">
        <v>64</v>
      </c>
      <c r="C29" t="s">
        <v>112</v>
      </c>
      <c r="D29" s="64"/>
      <c r="E29" s="64"/>
      <c r="F29" s="64"/>
      <c r="G29" s="64">
        <v>35.799999999999997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91">
        <f>SUM(D29:R29)</f>
        <v>35.799999999999997</v>
      </c>
    </row>
    <row r="30" spans="1:20" ht="14.4" x14ac:dyDescent="0.3">
      <c r="A30" s="86">
        <v>45153</v>
      </c>
      <c r="B30" t="s">
        <v>81</v>
      </c>
      <c r="C30" t="s">
        <v>113</v>
      </c>
      <c r="D30" s="64"/>
      <c r="G30" s="64"/>
      <c r="H30" s="64">
        <v>80.459999999999994</v>
      </c>
      <c r="R30" s="64">
        <v>4.33</v>
      </c>
      <c r="S30" s="91">
        <f>SUM(D30:R30)</f>
        <v>84.789999999999992</v>
      </c>
    </row>
    <row r="31" spans="1:20" ht="14.4" x14ac:dyDescent="0.3">
      <c r="A31" s="86">
        <v>45159</v>
      </c>
      <c r="B31" t="s">
        <v>92</v>
      </c>
      <c r="C31" t="s">
        <v>93</v>
      </c>
      <c r="D31" s="64"/>
      <c r="H31" s="64">
        <v>8</v>
      </c>
      <c r="S31" s="91">
        <f>SUM(D31:R31)</f>
        <v>8</v>
      </c>
      <c r="T31" s="64">
        <f>SUM(S28:S31)</f>
        <v>290.14999999999998</v>
      </c>
    </row>
    <row r="32" spans="1:20" ht="14.4" x14ac:dyDescent="0.3">
      <c r="A32" s="86">
        <v>45175</v>
      </c>
      <c r="B32" t="s">
        <v>81</v>
      </c>
      <c r="C32" t="s">
        <v>114</v>
      </c>
      <c r="G32" s="64">
        <v>161.36000000000001</v>
      </c>
      <c r="Q32" s="64"/>
      <c r="S32" s="91">
        <f>SUM(D32:R32)</f>
        <v>161.36000000000001</v>
      </c>
    </row>
    <row r="33" spans="1:20" ht="14.4" x14ac:dyDescent="0.3">
      <c r="A33" s="86">
        <v>45175</v>
      </c>
      <c r="B33" t="s">
        <v>64</v>
      </c>
      <c r="C33" t="s">
        <v>115</v>
      </c>
      <c r="E33" s="64"/>
      <c r="G33" s="64">
        <v>36</v>
      </c>
      <c r="S33" s="91">
        <f>SUM(D33:R33)</f>
        <v>36</v>
      </c>
    </row>
    <row r="34" spans="1:20" ht="14.4" x14ac:dyDescent="0.3">
      <c r="A34" s="86">
        <v>45175</v>
      </c>
      <c r="B34" t="s">
        <v>116</v>
      </c>
      <c r="C34" t="s">
        <v>14</v>
      </c>
      <c r="D34" s="64"/>
      <c r="E34" s="64">
        <v>696</v>
      </c>
      <c r="Q34" s="64"/>
      <c r="S34" s="91">
        <f>SUM(D34:R34)</f>
        <v>696</v>
      </c>
    </row>
    <row r="35" spans="1:20" ht="14.4" x14ac:dyDescent="0.3">
      <c r="A35" s="86">
        <v>45175</v>
      </c>
      <c r="B35" t="s">
        <v>83</v>
      </c>
      <c r="C35" t="s">
        <v>117</v>
      </c>
      <c r="D35" s="64"/>
      <c r="H35" s="64">
        <v>60</v>
      </c>
      <c r="Q35" s="64"/>
      <c r="S35" s="91">
        <f>SUM(D35:R35)</f>
        <v>60</v>
      </c>
    </row>
    <row r="36" spans="1:20" ht="14.4" x14ac:dyDescent="0.3">
      <c r="A36" s="86">
        <v>45175</v>
      </c>
      <c r="B36" t="s">
        <v>108</v>
      </c>
      <c r="C36" t="s">
        <v>110</v>
      </c>
      <c r="E36" s="64">
        <v>165</v>
      </c>
      <c r="K36" s="64"/>
      <c r="O36" s="64">
        <v>30</v>
      </c>
      <c r="Q36" s="64"/>
      <c r="S36" s="91">
        <f>SUM(D36:R36)</f>
        <v>195</v>
      </c>
    </row>
    <row r="37" spans="1:20" ht="14.4" x14ac:dyDescent="0.3">
      <c r="A37" s="86">
        <v>45190</v>
      </c>
      <c r="B37" t="s">
        <v>92</v>
      </c>
      <c r="C37" t="s">
        <v>93</v>
      </c>
      <c r="D37" s="64"/>
      <c r="H37" s="64">
        <v>8</v>
      </c>
      <c r="K37" s="64"/>
      <c r="Q37" s="64"/>
      <c r="S37" s="91">
        <f>SUM(D37:R37)</f>
        <v>8</v>
      </c>
      <c r="T37" s="64">
        <f>SUM(S32:S37)</f>
        <v>1156.3600000000001</v>
      </c>
    </row>
    <row r="38" spans="1:20" ht="14.4" x14ac:dyDescent="0.3">
      <c r="A38" s="86">
        <v>45219</v>
      </c>
      <c r="B38" t="s">
        <v>81</v>
      </c>
      <c r="C38" t="s">
        <v>118</v>
      </c>
      <c r="D38" s="64"/>
      <c r="G38" s="64">
        <v>128.08000000000001</v>
      </c>
      <c r="K38" s="64"/>
      <c r="Q38" s="64"/>
      <c r="S38" s="91">
        <f>SUM(D38:R38)</f>
        <v>128.08000000000001</v>
      </c>
    </row>
    <row r="39" spans="1:20" ht="14.4" x14ac:dyDescent="0.3">
      <c r="A39" s="86">
        <v>45219</v>
      </c>
      <c r="B39" t="s">
        <v>64</v>
      </c>
      <c r="C39" t="s">
        <v>119</v>
      </c>
      <c r="G39" s="64">
        <v>35.799999999999997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S39" s="91">
        <f>SUM(D39:R39)</f>
        <v>35.799999999999997</v>
      </c>
    </row>
    <row r="40" spans="1:20" ht="14.4" x14ac:dyDescent="0.3">
      <c r="A40" s="86">
        <v>45219</v>
      </c>
      <c r="B40" t="s">
        <v>103</v>
      </c>
      <c r="C40" t="s">
        <v>104</v>
      </c>
      <c r="D40" s="64"/>
      <c r="G40" s="64"/>
      <c r="H40" s="64">
        <f>72.78-12.13</f>
        <v>60.65</v>
      </c>
      <c r="I40" s="64"/>
      <c r="J40" s="64"/>
      <c r="K40" s="64"/>
      <c r="L40" s="64"/>
      <c r="M40" s="64"/>
      <c r="N40" s="64"/>
      <c r="O40" s="64"/>
      <c r="P40" s="64"/>
      <c r="Q40" s="64"/>
      <c r="R40" s="64">
        <v>12.13</v>
      </c>
      <c r="S40" s="91">
        <f>SUM(D40:R40)</f>
        <v>72.78</v>
      </c>
    </row>
    <row r="41" spans="1:20" ht="14.4" x14ac:dyDescent="0.3">
      <c r="A41" s="86">
        <v>45220</v>
      </c>
      <c r="B41" t="s">
        <v>92</v>
      </c>
      <c r="C41" t="s">
        <v>93</v>
      </c>
      <c r="D41" s="64"/>
      <c r="G41" s="64"/>
      <c r="H41" s="64">
        <v>8</v>
      </c>
      <c r="I41" s="64"/>
      <c r="J41" s="64"/>
      <c r="K41" s="64"/>
      <c r="L41" s="64"/>
      <c r="M41" s="64"/>
      <c r="N41" s="64"/>
      <c r="O41" s="64"/>
      <c r="P41" s="64"/>
      <c r="Q41" s="64"/>
      <c r="S41" s="91">
        <f>SUM(D41:R41)</f>
        <v>8</v>
      </c>
      <c r="T41" s="64">
        <f>SUM(S38:S41)</f>
        <v>244.66</v>
      </c>
    </row>
    <row r="42" spans="1:20" ht="14.4" x14ac:dyDescent="0.3">
      <c r="A42" s="86">
        <v>45246</v>
      </c>
      <c r="B42" t="s">
        <v>81</v>
      </c>
      <c r="C42" t="s">
        <v>120</v>
      </c>
      <c r="D42" s="64"/>
      <c r="E42" s="64"/>
      <c r="G42" s="64">
        <v>161.56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S42" s="91">
        <f>SUM(D42:R42)</f>
        <v>161.56</v>
      </c>
    </row>
    <row r="43" spans="1:20" ht="14.4" x14ac:dyDescent="0.3">
      <c r="A43" s="86">
        <v>45246</v>
      </c>
      <c r="B43" t="s">
        <v>64</v>
      </c>
      <c r="C43" t="s">
        <v>121</v>
      </c>
      <c r="D43" s="64"/>
      <c r="E43" s="64"/>
      <c r="G43" s="64">
        <v>35.799999999999997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S43" s="91">
        <f t="shared" ref="S43:S47" si="0">SUM(D43:R43)</f>
        <v>35.799999999999997</v>
      </c>
    </row>
    <row r="44" spans="1:20" ht="14.4" x14ac:dyDescent="0.3">
      <c r="A44" s="86">
        <v>45246</v>
      </c>
      <c r="B44" t="s">
        <v>81</v>
      </c>
      <c r="C44" t="s">
        <v>122</v>
      </c>
      <c r="D44" s="64"/>
      <c r="E44" s="64"/>
      <c r="G44" s="64"/>
      <c r="H44" s="64">
        <v>70.8</v>
      </c>
      <c r="I44" s="64"/>
      <c r="J44" s="64"/>
      <c r="K44" s="64"/>
      <c r="L44" s="64"/>
      <c r="M44" s="64"/>
      <c r="N44" s="64"/>
      <c r="O44" s="64"/>
      <c r="P44" s="64"/>
      <c r="Q44" s="64"/>
      <c r="S44" s="91">
        <f t="shared" si="0"/>
        <v>70.8</v>
      </c>
    </row>
    <row r="45" spans="1:20" ht="14.4" x14ac:dyDescent="0.3">
      <c r="A45" s="86">
        <v>45251</v>
      </c>
      <c r="B45" t="s">
        <v>92</v>
      </c>
      <c r="C45" t="s">
        <v>93</v>
      </c>
      <c r="D45" s="64"/>
      <c r="E45" s="64"/>
      <c r="G45" s="64"/>
      <c r="H45" s="64">
        <v>8</v>
      </c>
      <c r="I45" s="64"/>
      <c r="J45" s="64"/>
      <c r="K45" s="64"/>
      <c r="L45" s="64"/>
      <c r="M45" s="64"/>
      <c r="N45" s="64"/>
      <c r="O45" s="64"/>
      <c r="P45" s="64"/>
      <c r="Q45" s="64"/>
      <c r="S45" s="91">
        <f t="shared" si="0"/>
        <v>8</v>
      </c>
    </row>
    <row r="46" spans="1:20" ht="14.4" x14ac:dyDescent="0.3">
      <c r="A46" s="86">
        <v>45258</v>
      </c>
      <c r="B46" t="s">
        <v>123</v>
      </c>
      <c r="C46" t="s">
        <v>124</v>
      </c>
      <c r="D46" s="64">
        <v>1000</v>
      </c>
      <c r="E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S46" s="91">
        <f t="shared" si="0"/>
        <v>1000</v>
      </c>
    </row>
    <row r="47" spans="1:20" ht="14.4" x14ac:dyDescent="0.3">
      <c r="A47" s="86">
        <v>45259</v>
      </c>
      <c r="B47" t="s">
        <v>123</v>
      </c>
      <c r="C47" t="s">
        <v>124</v>
      </c>
      <c r="D47" s="64">
        <v>1000</v>
      </c>
      <c r="E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S47" s="91">
        <f t="shared" si="0"/>
        <v>1000</v>
      </c>
    </row>
    <row r="48" spans="1:20" ht="14.4" x14ac:dyDescent="0.3">
      <c r="A48" s="86">
        <v>45260</v>
      </c>
      <c r="B48" t="s">
        <v>123</v>
      </c>
      <c r="C48" t="s">
        <v>124</v>
      </c>
      <c r="D48" s="64">
        <v>300</v>
      </c>
      <c r="E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S48" s="91">
        <f>SUM(D48:R48)</f>
        <v>300</v>
      </c>
    </row>
    <row r="49" spans="1:20" ht="14.4" x14ac:dyDescent="0.3">
      <c r="A49" s="86">
        <v>45260</v>
      </c>
      <c r="B49" t="s">
        <v>125</v>
      </c>
      <c r="C49" t="s">
        <v>19</v>
      </c>
      <c r="D49" s="64"/>
      <c r="E49" s="64"/>
      <c r="G49" s="64"/>
      <c r="H49" s="64"/>
      <c r="I49" s="64"/>
      <c r="J49" s="64"/>
      <c r="K49" s="64"/>
      <c r="L49" s="64"/>
      <c r="M49" s="64">
        <v>20</v>
      </c>
      <c r="N49" s="64"/>
      <c r="O49" s="64"/>
      <c r="P49" s="64"/>
      <c r="Q49" s="64"/>
      <c r="S49" s="91">
        <f t="shared" ref="S49:S62" si="1">SUM(D49:R49)</f>
        <v>20</v>
      </c>
      <c r="T49" s="64">
        <f>SUM(S42:S49)</f>
        <v>2596.16</v>
      </c>
    </row>
    <row r="50" spans="1:20" ht="14.4" x14ac:dyDescent="0.3">
      <c r="A50" s="86">
        <v>45272</v>
      </c>
      <c r="B50" t="s">
        <v>81</v>
      </c>
      <c r="C50" t="s">
        <v>126</v>
      </c>
      <c r="D50" s="64"/>
      <c r="E50" s="64"/>
      <c r="G50" s="64">
        <v>276.56</v>
      </c>
      <c r="H50" s="64"/>
      <c r="I50" s="64"/>
      <c r="J50" s="64"/>
      <c r="K50" s="64"/>
      <c r="L50" s="64"/>
      <c r="M50" s="64"/>
      <c r="N50" s="64"/>
      <c r="O50" s="64"/>
      <c r="P50" s="64"/>
      <c r="Q50" s="64"/>
      <c r="S50" s="91">
        <f t="shared" si="1"/>
        <v>276.56</v>
      </c>
    </row>
    <row r="51" spans="1:20" ht="14.4" x14ac:dyDescent="0.3">
      <c r="A51" s="86">
        <v>45281</v>
      </c>
      <c r="B51" t="s">
        <v>92</v>
      </c>
      <c r="C51" t="s">
        <v>93</v>
      </c>
      <c r="D51" s="64"/>
      <c r="E51" s="64"/>
      <c r="G51" s="64"/>
      <c r="H51" s="64">
        <v>8</v>
      </c>
      <c r="I51" s="64"/>
      <c r="J51" s="64"/>
      <c r="K51" s="64"/>
      <c r="L51" s="64"/>
      <c r="M51" s="64"/>
      <c r="N51" s="64"/>
      <c r="O51" s="64"/>
      <c r="P51" s="64"/>
      <c r="Q51" s="64"/>
      <c r="S51" s="91">
        <f t="shared" si="1"/>
        <v>8</v>
      </c>
      <c r="T51" s="64">
        <f>SUM(S50:S51)</f>
        <v>284.56</v>
      </c>
    </row>
    <row r="52" spans="1:20" ht="14.4" x14ac:dyDescent="0.3">
      <c r="A52" s="86">
        <v>45309</v>
      </c>
      <c r="B52" t="s">
        <v>81</v>
      </c>
      <c r="C52" t="s">
        <v>127</v>
      </c>
      <c r="D52" s="64"/>
      <c r="E52" s="64"/>
      <c r="G52" s="64">
        <v>174.36</v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S52" s="91">
        <f t="shared" si="1"/>
        <v>174.36</v>
      </c>
    </row>
    <row r="53" spans="1:20" ht="14.4" x14ac:dyDescent="0.3">
      <c r="A53" s="86">
        <v>45310</v>
      </c>
      <c r="B53" t="s">
        <v>64</v>
      </c>
      <c r="C53" t="s">
        <v>128</v>
      </c>
      <c r="D53" s="64"/>
      <c r="E53" s="64"/>
      <c r="G53" s="64">
        <v>64.8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S53" s="91">
        <f t="shared" si="1"/>
        <v>64.8</v>
      </c>
    </row>
    <row r="54" spans="1:20" ht="14.4" x14ac:dyDescent="0.3">
      <c r="A54" s="86">
        <v>45310</v>
      </c>
      <c r="B54" t="s">
        <v>64</v>
      </c>
      <c r="C54" t="s">
        <v>129</v>
      </c>
      <c r="D54" s="64"/>
      <c r="E54" s="64"/>
      <c r="G54" s="64">
        <v>39</v>
      </c>
      <c r="H54" s="64"/>
      <c r="I54" s="64"/>
      <c r="J54" s="64"/>
      <c r="K54" s="64"/>
      <c r="L54" s="64"/>
      <c r="M54" s="64"/>
      <c r="N54" s="64"/>
      <c r="O54" s="64"/>
      <c r="P54" s="64"/>
      <c r="Q54" s="64"/>
      <c r="S54" s="91">
        <f t="shared" si="1"/>
        <v>39</v>
      </c>
    </row>
    <row r="55" spans="1:20" ht="14.4" x14ac:dyDescent="0.3">
      <c r="A55" s="86">
        <v>45310</v>
      </c>
      <c r="B55" t="s">
        <v>125</v>
      </c>
      <c r="C55" t="s">
        <v>19</v>
      </c>
      <c r="D55" s="64"/>
      <c r="E55" s="64"/>
      <c r="G55" s="64"/>
      <c r="H55" s="64"/>
      <c r="I55" s="64"/>
      <c r="J55" s="64"/>
      <c r="K55" s="64"/>
      <c r="L55" s="64"/>
      <c r="M55" s="64">
        <v>66</v>
      </c>
      <c r="N55" s="64"/>
      <c r="O55" s="64"/>
      <c r="P55" s="64"/>
      <c r="Q55" s="64"/>
      <c r="S55" s="91">
        <f t="shared" si="1"/>
        <v>66</v>
      </c>
    </row>
    <row r="56" spans="1:20" ht="14.4" x14ac:dyDescent="0.3">
      <c r="A56" s="86">
        <v>45310</v>
      </c>
      <c r="B56" t="s">
        <v>83</v>
      </c>
      <c r="C56" t="s">
        <v>117</v>
      </c>
      <c r="D56" s="64"/>
      <c r="E56" s="64"/>
      <c r="G56" s="64"/>
      <c r="H56" s="64">
        <v>60</v>
      </c>
      <c r="I56" s="64"/>
      <c r="J56" s="64"/>
      <c r="K56" s="64"/>
      <c r="L56" s="64"/>
      <c r="M56" s="64"/>
      <c r="N56" s="64"/>
      <c r="O56" s="64"/>
      <c r="P56" s="64"/>
      <c r="Q56" s="64"/>
      <c r="S56" s="91">
        <f t="shared" si="1"/>
        <v>60</v>
      </c>
    </row>
    <row r="57" spans="1:20" ht="14.4" x14ac:dyDescent="0.3">
      <c r="A57" s="86">
        <v>45310</v>
      </c>
      <c r="B57" t="s">
        <v>108</v>
      </c>
      <c r="C57" t="s">
        <v>130</v>
      </c>
      <c r="D57" s="64"/>
      <c r="E57" s="64"/>
      <c r="G57" s="64"/>
      <c r="H57" s="64"/>
      <c r="I57" s="64"/>
      <c r="J57" s="64"/>
      <c r="K57" s="64"/>
      <c r="L57" s="64"/>
      <c r="M57" s="64"/>
      <c r="N57" s="64"/>
      <c r="O57" s="64">
        <v>60</v>
      </c>
      <c r="P57" s="64">
        <v>400</v>
      </c>
      <c r="Q57" s="64"/>
      <c r="S57" s="91">
        <f t="shared" si="1"/>
        <v>460</v>
      </c>
    </row>
    <row r="58" spans="1:20" ht="14.4" x14ac:dyDescent="0.3">
      <c r="A58" s="86">
        <v>45312</v>
      </c>
      <c r="B58" t="s">
        <v>64</v>
      </c>
      <c r="C58" t="s">
        <v>93</v>
      </c>
      <c r="D58" s="64"/>
      <c r="E58" s="64"/>
      <c r="G58" s="64"/>
      <c r="H58" s="64">
        <v>8</v>
      </c>
      <c r="I58" s="64"/>
      <c r="J58" s="64"/>
      <c r="K58" s="64"/>
      <c r="L58" s="64"/>
      <c r="M58" s="64"/>
      <c r="N58" s="64"/>
      <c r="O58" s="64"/>
      <c r="P58" s="64"/>
      <c r="Q58" s="64"/>
      <c r="S58" s="91">
        <f t="shared" si="1"/>
        <v>8</v>
      </c>
      <c r="T58" s="64">
        <f>SUM(S52:S58)</f>
        <v>872.16000000000008</v>
      </c>
    </row>
    <row r="59" spans="1:20" ht="14.4" x14ac:dyDescent="0.3">
      <c r="A59" s="86">
        <v>45337</v>
      </c>
      <c r="B59" t="s">
        <v>81</v>
      </c>
      <c r="C59" t="s">
        <v>131</v>
      </c>
      <c r="D59" s="64"/>
      <c r="E59" s="64"/>
      <c r="G59" s="64">
        <v>174.36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S59" s="91">
        <f t="shared" si="1"/>
        <v>174.36</v>
      </c>
    </row>
    <row r="60" spans="1:20" ht="14.4" x14ac:dyDescent="0.3">
      <c r="A60" s="86">
        <v>45343</v>
      </c>
      <c r="B60" t="s">
        <v>92</v>
      </c>
      <c r="C60" t="s">
        <v>93</v>
      </c>
      <c r="D60" s="64"/>
      <c r="E60" s="64"/>
      <c r="G60" s="64"/>
      <c r="H60" s="64">
        <v>8</v>
      </c>
      <c r="I60" s="64"/>
      <c r="J60" s="64"/>
      <c r="K60" s="64"/>
      <c r="L60" s="64"/>
      <c r="M60" s="64"/>
      <c r="N60" s="64"/>
      <c r="O60" s="64"/>
      <c r="P60" s="64"/>
      <c r="Q60" s="64"/>
      <c r="S60" s="91">
        <f t="shared" si="1"/>
        <v>8</v>
      </c>
      <c r="T60" s="64">
        <f>SUM(S59:S60)</f>
        <v>182.36</v>
      </c>
    </row>
    <row r="61" spans="1:20" ht="14.4" x14ac:dyDescent="0.3">
      <c r="A61" s="86">
        <v>45359</v>
      </c>
      <c r="B61" t="s">
        <v>81</v>
      </c>
      <c r="C61" t="s">
        <v>85</v>
      </c>
      <c r="D61" s="64"/>
      <c r="E61" s="64"/>
      <c r="F61" s="64">
        <f>39.82-6.64</f>
        <v>33.18</v>
      </c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>
        <v>6.64</v>
      </c>
      <c r="S61" s="91">
        <f t="shared" si="1"/>
        <v>39.82</v>
      </c>
    </row>
    <row r="62" spans="1:20" ht="14.4" x14ac:dyDescent="0.3">
      <c r="A62" s="86">
        <v>45372</v>
      </c>
      <c r="B62" t="s">
        <v>92</v>
      </c>
      <c r="C62" t="s">
        <v>93</v>
      </c>
      <c r="D62" s="64"/>
      <c r="E62" s="64"/>
      <c r="G62" s="64"/>
      <c r="H62" s="64">
        <v>8</v>
      </c>
      <c r="I62" s="64"/>
      <c r="J62" s="64"/>
      <c r="K62" s="64"/>
      <c r="L62" s="64"/>
      <c r="M62" s="64"/>
      <c r="N62" s="64"/>
      <c r="O62" s="64"/>
      <c r="P62" s="64"/>
      <c r="Q62" s="64"/>
      <c r="S62" s="91">
        <f t="shared" si="1"/>
        <v>8</v>
      </c>
    </row>
    <row r="63" spans="1:20" ht="14.4" x14ac:dyDescent="0.3">
      <c r="A63" s="86">
        <v>45373</v>
      </c>
      <c r="B63" t="s">
        <v>81</v>
      </c>
      <c r="C63" t="s">
        <v>132</v>
      </c>
      <c r="D63" s="64"/>
      <c r="E63" s="64"/>
      <c r="G63" s="64">
        <v>456.68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91"/>
      <c r="S63" s="91">
        <f>SUM(D63:R63)</f>
        <v>456.68</v>
      </c>
      <c r="T63" s="64">
        <f>SUM(S61:S63)</f>
        <v>504.5</v>
      </c>
    </row>
    <row r="64" spans="1:20" ht="14.4" x14ac:dyDescent="0.3">
      <c r="A64" s="86"/>
      <c r="D64" s="64"/>
      <c r="E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S64" s="91"/>
    </row>
    <row r="65" spans="1:20" ht="14.4" x14ac:dyDescent="0.3">
      <c r="D65" s="95">
        <f>SUM(D4:D64)</f>
        <v>2300</v>
      </c>
      <c r="E65" s="95">
        <f>SUM(E4:E64)</f>
        <v>861</v>
      </c>
      <c r="F65" s="95">
        <f>SUM(F4:F64)</f>
        <v>33.18</v>
      </c>
      <c r="G65" s="95">
        <f>SUM(G4:G64)</f>
        <v>2731.16</v>
      </c>
      <c r="H65" s="95">
        <f>SUM(H4:H64)</f>
        <v>532.75</v>
      </c>
      <c r="I65" s="95">
        <f>SUM(I4:I64)</f>
        <v>161.51</v>
      </c>
      <c r="J65" s="95">
        <f>SUM(J4:J64)</f>
        <v>390.2</v>
      </c>
      <c r="K65" s="95">
        <f>SUM(K4:K64)</f>
        <v>805.65</v>
      </c>
      <c r="L65" s="95">
        <f>SUM(L4:L64)</f>
        <v>166.04</v>
      </c>
      <c r="M65" s="95">
        <f>SUM(M4:M64)</f>
        <v>86</v>
      </c>
      <c r="N65" s="95">
        <f>SUM(N4:N64)</f>
        <v>35</v>
      </c>
      <c r="O65" s="95">
        <f>SUM(O4:O64)</f>
        <v>165</v>
      </c>
      <c r="P65" s="95">
        <f>SUM(P4:P64)</f>
        <v>400</v>
      </c>
      <c r="Q65" s="95">
        <f>SUM(Q4:Q64)</f>
        <v>500</v>
      </c>
      <c r="R65" s="95">
        <f>SUM(R4:R64)</f>
        <v>33</v>
      </c>
      <c r="S65" s="95">
        <f>SUM(S4:S64)</f>
        <v>9200.4900000000016</v>
      </c>
      <c r="T65" s="64">
        <f>SUM(D65:R65)</f>
        <v>9200.49</v>
      </c>
    </row>
    <row r="66" spans="1:20" ht="30.6" x14ac:dyDescent="0.3">
      <c r="A66" s="75"/>
      <c r="B66" s="75"/>
      <c r="C66" s="75"/>
      <c r="D66" s="87" t="str">
        <f t="shared" ref="D66:S66" si="2">+D3</f>
        <v>Projects</v>
      </c>
      <c r="E66" s="87" t="str">
        <f t="shared" si="2"/>
        <v>SPAAF Days</v>
      </c>
      <c r="F66" s="87" t="str">
        <f t="shared" si="2"/>
        <v>Defibrillator</v>
      </c>
      <c r="G66" s="87" t="str">
        <f t="shared" si="2"/>
        <v>Clerks Gross salary</v>
      </c>
      <c r="H66" s="87" t="str">
        <f t="shared" si="2"/>
        <v>Admin &amp; Stationery</v>
      </c>
      <c r="I66" s="87" t="str">
        <f t="shared" si="2"/>
        <v>Subs &amp; Donations</v>
      </c>
      <c r="J66" s="87" t="str">
        <f t="shared" si="2"/>
        <v>Insurance - PC</v>
      </c>
      <c r="K66" s="87" t="str">
        <f t="shared" si="2"/>
        <v>Insurance Village Hall</v>
      </c>
      <c r="L66" s="87" t="str">
        <f t="shared" si="2"/>
        <v>Newsletter</v>
      </c>
      <c r="M66" s="87" t="str">
        <f t="shared" si="2"/>
        <v>Website</v>
      </c>
      <c r="N66" s="87" t="str">
        <f t="shared" si="2"/>
        <v>ICO</v>
      </c>
      <c r="O66" s="87" t="str">
        <f t="shared" si="2"/>
        <v>Hall Rental</v>
      </c>
      <c r="P66" s="87" t="str">
        <f t="shared" si="2"/>
        <v>Donations Village Hall</v>
      </c>
      <c r="Q66" s="87" t="str">
        <f t="shared" si="2"/>
        <v>Donations Coronation</v>
      </c>
      <c r="R66" s="87" t="str">
        <f t="shared" si="2"/>
        <v>VAT</v>
      </c>
      <c r="S66" s="87" t="str">
        <f t="shared" si="2"/>
        <v>Total</v>
      </c>
      <c r="T66" s="75"/>
    </row>
  </sheetData>
  <pageMargins left="0.7" right="0.7" top="0.75" bottom="0.75" header="0.3" footer="0.3"/>
  <pageSetup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C8CF-BBDB-487F-BA91-AA2E80FC83A4}">
  <sheetPr>
    <pageSetUpPr fitToPage="1"/>
  </sheetPr>
  <dimension ref="A1:D27"/>
  <sheetViews>
    <sheetView tabSelected="1" workbookViewId="0">
      <selection sqref="A1:D25"/>
    </sheetView>
  </sheetViews>
  <sheetFormatPr defaultRowHeight="13.2" x14ac:dyDescent="0.25"/>
  <cols>
    <col min="1" max="1" width="10.33203125" customWidth="1"/>
    <col min="2" max="2" width="17" bestFit="1" customWidth="1"/>
    <col min="3" max="3" width="26.33203125" bestFit="1" customWidth="1"/>
  </cols>
  <sheetData>
    <row r="1" spans="1:4" ht="14.4" x14ac:dyDescent="0.3">
      <c r="A1" s="65" t="s">
        <v>75</v>
      </c>
      <c r="C1" s="75"/>
    </row>
    <row r="2" spans="1:4" ht="14.4" x14ac:dyDescent="0.3">
      <c r="A2" s="65" t="s">
        <v>133</v>
      </c>
      <c r="C2" s="75"/>
    </row>
    <row r="3" spans="1:4" x14ac:dyDescent="0.25">
      <c r="A3" s="87" t="s">
        <v>69</v>
      </c>
      <c r="B3" s="87" t="s">
        <v>76</v>
      </c>
      <c r="C3" s="87" t="s">
        <v>77</v>
      </c>
    </row>
    <row r="4" spans="1:4" ht="14.4" x14ac:dyDescent="0.3">
      <c r="A4" s="86">
        <v>45392</v>
      </c>
      <c r="B4" t="s">
        <v>81</v>
      </c>
      <c r="C4" t="s">
        <v>18</v>
      </c>
      <c r="D4" s="91">
        <v>166.04</v>
      </c>
    </row>
    <row r="5" spans="1:4" ht="14.4" x14ac:dyDescent="0.3">
      <c r="A5" s="86">
        <v>45036</v>
      </c>
      <c r="B5" t="s">
        <v>81</v>
      </c>
      <c r="C5" t="s">
        <v>91</v>
      </c>
      <c r="D5" s="91">
        <v>161.56</v>
      </c>
    </row>
    <row r="6" spans="1:4" ht="14.4" x14ac:dyDescent="0.3">
      <c r="A6" s="86">
        <v>45055</v>
      </c>
      <c r="B6" t="s">
        <v>81</v>
      </c>
      <c r="C6" t="s">
        <v>97</v>
      </c>
      <c r="D6" s="91">
        <v>161.56</v>
      </c>
    </row>
    <row r="7" spans="1:4" ht="14.4" x14ac:dyDescent="0.3">
      <c r="A7" s="86">
        <v>45095</v>
      </c>
      <c r="B7" t="s">
        <v>81</v>
      </c>
      <c r="C7" t="s">
        <v>100</v>
      </c>
      <c r="D7" s="91">
        <v>161.36000000000001</v>
      </c>
    </row>
    <row r="8" spans="1:4" ht="14.4" x14ac:dyDescent="0.3">
      <c r="A8" s="86">
        <v>45095</v>
      </c>
      <c r="B8" t="s">
        <v>82</v>
      </c>
      <c r="C8" t="s">
        <v>105</v>
      </c>
      <c r="D8" s="91">
        <v>161.51</v>
      </c>
    </row>
    <row r="9" spans="1:4" ht="14.4" x14ac:dyDescent="0.3">
      <c r="A9" s="86">
        <v>45121</v>
      </c>
      <c r="B9" t="s">
        <v>81</v>
      </c>
      <c r="C9" t="s">
        <v>106</v>
      </c>
      <c r="D9" s="91">
        <v>161.56</v>
      </c>
    </row>
    <row r="10" spans="1:4" ht="14.4" x14ac:dyDescent="0.3">
      <c r="A10" s="86">
        <v>45121</v>
      </c>
      <c r="B10" t="s">
        <v>84</v>
      </c>
      <c r="C10" t="s">
        <v>17</v>
      </c>
      <c r="D10" s="91">
        <v>390.2</v>
      </c>
    </row>
    <row r="11" spans="1:4" ht="14.4" x14ac:dyDescent="0.3">
      <c r="A11" s="86">
        <v>45132</v>
      </c>
      <c r="B11" t="s">
        <v>108</v>
      </c>
      <c r="C11" t="s">
        <v>17</v>
      </c>
      <c r="D11" s="91">
        <v>805.65</v>
      </c>
    </row>
    <row r="12" spans="1:4" ht="14.4" x14ac:dyDescent="0.3">
      <c r="A12" s="86">
        <v>45132</v>
      </c>
      <c r="B12" t="s">
        <v>108</v>
      </c>
      <c r="C12" t="s">
        <v>109</v>
      </c>
      <c r="D12" s="91">
        <v>500</v>
      </c>
    </row>
    <row r="13" spans="1:4" ht="14.4" x14ac:dyDescent="0.3">
      <c r="A13" s="86">
        <v>45153</v>
      </c>
      <c r="B13" t="s">
        <v>81</v>
      </c>
      <c r="C13" t="s">
        <v>111</v>
      </c>
      <c r="D13" s="91">
        <v>161.56</v>
      </c>
    </row>
    <row r="14" spans="1:4" ht="14.4" x14ac:dyDescent="0.3">
      <c r="A14" s="86">
        <v>45175</v>
      </c>
      <c r="B14" t="s">
        <v>81</v>
      </c>
      <c r="C14" t="s">
        <v>114</v>
      </c>
      <c r="D14" s="91">
        <v>161.36000000000001</v>
      </c>
    </row>
    <row r="15" spans="1:4" ht="14.4" x14ac:dyDescent="0.3">
      <c r="A15" s="86">
        <v>45175</v>
      </c>
      <c r="B15" t="s">
        <v>116</v>
      </c>
      <c r="C15" t="s">
        <v>14</v>
      </c>
      <c r="D15" s="91">
        <v>696</v>
      </c>
    </row>
    <row r="16" spans="1:4" ht="14.4" x14ac:dyDescent="0.3">
      <c r="A16" s="86">
        <v>45175</v>
      </c>
      <c r="B16" t="s">
        <v>108</v>
      </c>
      <c r="C16" t="s">
        <v>110</v>
      </c>
      <c r="D16" s="91">
        <v>195</v>
      </c>
    </row>
    <row r="17" spans="1:4" ht="14.4" x14ac:dyDescent="0.3">
      <c r="A17" s="86">
        <v>45219</v>
      </c>
      <c r="B17" t="s">
        <v>81</v>
      </c>
      <c r="C17" t="s">
        <v>118</v>
      </c>
      <c r="D17" s="91">
        <v>128.08000000000001</v>
      </c>
    </row>
    <row r="18" spans="1:4" ht="14.4" x14ac:dyDescent="0.3">
      <c r="A18" s="86">
        <v>45246</v>
      </c>
      <c r="B18" t="s">
        <v>81</v>
      </c>
      <c r="C18" t="s">
        <v>120</v>
      </c>
      <c r="D18" s="91">
        <v>161.56</v>
      </c>
    </row>
    <row r="19" spans="1:4" ht="14.4" x14ac:dyDescent="0.3">
      <c r="A19" s="86">
        <v>45258</v>
      </c>
      <c r="B19" t="s">
        <v>123</v>
      </c>
      <c r="C19" t="s">
        <v>124</v>
      </c>
      <c r="D19" s="91">
        <v>2300</v>
      </c>
    </row>
    <row r="20" spans="1:4" ht="14.4" x14ac:dyDescent="0.3">
      <c r="A20" s="86">
        <v>45272</v>
      </c>
      <c r="B20" t="s">
        <v>81</v>
      </c>
      <c r="C20" t="s">
        <v>126</v>
      </c>
      <c r="D20" s="91">
        <v>276.56</v>
      </c>
    </row>
    <row r="21" spans="1:4" ht="14.4" x14ac:dyDescent="0.3">
      <c r="A21" s="86">
        <v>45309</v>
      </c>
      <c r="B21" t="s">
        <v>81</v>
      </c>
      <c r="C21" t="s">
        <v>127</v>
      </c>
      <c r="D21" s="91">
        <v>174.36</v>
      </c>
    </row>
    <row r="22" spans="1:4" ht="14.4" x14ac:dyDescent="0.3">
      <c r="A22" s="86">
        <v>45310</v>
      </c>
      <c r="B22" t="s">
        <v>108</v>
      </c>
      <c r="C22" t="s">
        <v>130</v>
      </c>
      <c r="D22" s="91">
        <v>460</v>
      </c>
    </row>
    <row r="23" spans="1:4" ht="14.4" x14ac:dyDescent="0.3">
      <c r="A23" s="86">
        <v>45337</v>
      </c>
      <c r="B23" t="s">
        <v>81</v>
      </c>
      <c r="C23" t="s">
        <v>131</v>
      </c>
      <c r="D23" s="91">
        <v>174.36</v>
      </c>
    </row>
    <row r="24" spans="1:4" ht="14.4" x14ac:dyDescent="0.3">
      <c r="A24" s="86">
        <v>45373</v>
      </c>
      <c r="B24" t="s">
        <v>81</v>
      </c>
      <c r="C24" t="s">
        <v>132</v>
      </c>
      <c r="D24" s="91">
        <v>456.68</v>
      </c>
    </row>
    <row r="25" spans="1:4" x14ac:dyDescent="0.25">
      <c r="A25" s="86"/>
    </row>
    <row r="27" spans="1:4" ht="14.4" x14ac:dyDescent="0.3">
      <c r="A27" s="75"/>
      <c r="B27" s="75"/>
      <c r="C27" s="7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3A428-5BEF-47D6-9BFC-0F72550D4A1F}">
  <dimension ref="A1:G19"/>
  <sheetViews>
    <sheetView workbookViewId="0">
      <selection sqref="A1:F20"/>
    </sheetView>
  </sheetViews>
  <sheetFormatPr defaultRowHeight="13.2" x14ac:dyDescent="0.25"/>
  <cols>
    <col min="5" max="5" width="11.44140625" bestFit="1" customWidth="1"/>
    <col min="6" max="6" width="9.33203125" bestFit="1" customWidth="1"/>
    <col min="7" max="7" width="17.44140625" bestFit="1" customWidth="1"/>
  </cols>
  <sheetData>
    <row r="1" spans="1:6" ht="17.399999999999999" x14ac:dyDescent="0.3">
      <c r="D1" s="62" t="s">
        <v>51</v>
      </c>
      <c r="E1" s="42"/>
      <c r="F1" s="42"/>
    </row>
    <row r="2" spans="1:6" ht="17.399999999999999" x14ac:dyDescent="0.3">
      <c r="A2" s="43"/>
      <c r="B2" s="43"/>
      <c r="C2" s="43"/>
      <c r="D2" s="43"/>
      <c r="E2" s="43"/>
      <c r="F2" s="43"/>
    </row>
    <row r="3" spans="1:6" ht="17.399999999999999" x14ac:dyDescent="0.3">
      <c r="A3" s="63" t="s">
        <v>66</v>
      </c>
      <c r="B3" s="61"/>
      <c r="C3" s="61"/>
      <c r="D3" s="61"/>
      <c r="E3" s="61"/>
      <c r="F3" s="61"/>
    </row>
    <row r="4" spans="1:6" ht="17.399999999999999" x14ac:dyDescent="0.3">
      <c r="A4" s="44"/>
      <c r="B4" s="44"/>
      <c r="E4" s="42"/>
    </row>
    <row r="5" spans="1:6" x14ac:dyDescent="0.25">
      <c r="A5" s="44" t="s">
        <v>52</v>
      </c>
      <c r="B5" s="44"/>
      <c r="C5" s="45"/>
      <c r="D5" s="45"/>
      <c r="E5" s="45"/>
      <c r="F5" s="45"/>
    </row>
    <row r="6" spans="1:6" x14ac:dyDescent="0.25">
      <c r="A6" s="44"/>
      <c r="B6" s="44"/>
      <c r="C6" s="45"/>
      <c r="D6" s="45"/>
      <c r="E6" s="45"/>
      <c r="F6" s="45"/>
    </row>
    <row r="7" spans="1:6" x14ac:dyDescent="0.25">
      <c r="A7" t="s">
        <v>49</v>
      </c>
      <c r="C7" s="46">
        <v>9041.02</v>
      </c>
      <c r="D7" s="45"/>
      <c r="E7" s="45"/>
      <c r="F7" s="45"/>
    </row>
    <row r="8" spans="1:6" x14ac:dyDescent="0.25">
      <c r="A8" s="45"/>
      <c r="B8" s="45"/>
      <c r="C8" s="47"/>
      <c r="D8" s="45"/>
      <c r="E8" s="45"/>
      <c r="F8" s="45"/>
    </row>
    <row r="9" spans="1:6" x14ac:dyDescent="0.25">
      <c r="A9" s="48" t="s">
        <v>0</v>
      </c>
      <c r="B9" s="48"/>
      <c r="C9" s="47">
        <f>+Summary!D8+Summary!E8+Summary!F8+Summary!G8+Summary!J8</f>
        <v>6143.46</v>
      </c>
      <c r="D9" s="45"/>
      <c r="E9" s="45" t="s">
        <v>12</v>
      </c>
      <c r="F9" s="47">
        <f>+Summary!D33+Summary!E33+Summary!F33+Summary!G33+Summary!H33+Summary!I33+Summary!J33+Summary!K33+Summary!L33+Summary!M33+Summary!N33+Summary!O33</f>
        <v>9200.4900000000016</v>
      </c>
    </row>
    <row r="10" spans="1:6" ht="13.8" x14ac:dyDescent="0.25">
      <c r="A10" s="48"/>
      <c r="B10" s="48"/>
      <c r="C10" s="47"/>
      <c r="D10" s="45"/>
      <c r="E10" s="45"/>
      <c r="F10" s="49"/>
    </row>
    <row r="11" spans="1:6" ht="13.8" x14ac:dyDescent="0.25">
      <c r="A11" s="48"/>
      <c r="B11" s="48"/>
      <c r="C11" s="50"/>
      <c r="D11" s="45"/>
      <c r="F11" s="49"/>
    </row>
    <row r="12" spans="1:6" x14ac:dyDescent="0.25">
      <c r="A12" s="45"/>
      <c r="B12" s="45"/>
      <c r="C12" s="50"/>
      <c r="D12" s="45"/>
      <c r="E12" s="45" t="s">
        <v>50</v>
      </c>
      <c r="F12" s="51">
        <f>+C7+C9+C10-F9</f>
        <v>5983.989999999998</v>
      </c>
    </row>
    <row r="13" spans="1:6" ht="13.8" x14ac:dyDescent="0.25">
      <c r="A13" s="44"/>
      <c r="B13" s="44"/>
      <c r="C13" s="45"/>
      <c r="D13" s="45"/>
      <c r="E13" s="45"/>
      <c r="F13" s="49"/>
    </row>
    <row r="14" spans="1:6" ht="13.8" thickBot="1" x14ac:dyDescent="0.3">
      <c r="A14" s="44"/>
      <c r="B14" s="44"/>
      <c r="C14" s="52">
        <f>SUM(C7:C12)</f>
        <v>15184.48</v>
      </c>
      <c r="D14" s="47"/>
      <c r="E14" s="47"/>
      <c r="F14" s="52">
        <f>SUM(F7:F12)</f>
        <v>15184.48</v>
      </c>
    </row>
    <row r="15" spans="1:6" ht="14.4" thickTop="1" x14ac:dyDescent="0.25">
      <c r="A15" s="44"/>
      <c r="B15" s="44"/>
      <c r="C15" s="45"/>
      <c r="D15" s="45"/>
      <c r="E15" s="45"/>
      <c r="F15" s="49"/>
    </row>
    <row r="16" spans="1:6" ht="13.8" x14ac:dyDescent="0.25">
      <c r="A16" s="44"/>
      <c r="B16" s="44"/>
      <c r="C16" s="45"/>
      <c r="D16" s="45"/>
      <c r="E16" s="45"/>
      <c r="F16" s="49"/>
    </row>
    <row r="17" spans="1:7" ht="13.8" thickBot="1" x14ac:dyDescent="0.3">
      <c r="A17" s="44" t="s">
        <v>67</v>
      </c>
      <c r="B17" s="44"/>
      <c r="C17" s="45"/>
      <c r="D17" s="45"/>
      <c r="E17" s="47"/>
      <c r="F17" s="53">
        <v>5983.99</v>
      </c>
      <c r="G17" s="71"/>
    </row>
    <row r="18" spans="1:7" ht="14.4" thickTop="1" thickBot="1" x14ac:dyDescent="0.3">
      <c r="A18" s="48"/>
      <c r="B18" s="54"/>
      <c r="C18" s="55"/>
      <c r="D18" s="56"/>
      <c r="E18" s="57"/>
      <c r="F18" s="54"/>
    </row>
    <row r="19" spans="1:7" x14ac:dyDescent="0.25">
      <c r="A19" s="48"/>
      <c r="B19" s="48"/>
      <c r="C19" s="58"/>
      <c r="D19" s="45"/>
      <c r="E19" s="59"/>
      <c r="F19" s="4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10838-755A-4EC5-A245-4A157061CD4C}">
  <sheetPr>
    <pageSetUpPr fitToPage="1"/>
  </sheetPr>
  <dimension ref="A1:H38"/>
  <sheetViews>
    <sheetView workbookViewId="0">
      <selection activeCell="D27" sqref="D27"/>
    </sheetView>
  </sheetViews>
  <sheetFormatPr defaultColWidth="9.109375" defaultRowHeight="15.75" customHeight="1" x14ac:dyDescent="0.25"/>
  <cols>
    <col min="1" max="1" width="22" style="15" customWidth="1"/>
    <col min="2" max="2" width="19.33203125" style="15" bestFit="1" customWidth="1"/>
    <col min="3" max="5" width="15.109375" style="15" customWidth="1"/>
    <col min="6" max="16384" width="9.109375" style="15"/>
  </cols>
  <sheetData>
    <row r="1" spans="1:6" ht="15.75" customHeight="1" x14ac:dyDescent="0.25">
      <c r="A1" s="11" t="s">
        <v>62</v>
      </c>
      <c r="B1" s="11"/>
    </row>
    <row r="2" spans="1:6" ht="15.75" customHeight="1" x14ac:dyDescent="0.25">
      <c r="A2" s="2" t="s">
        <v>0</v>
      </c>
      <c r="B2" s="2"/>
      <c r="C2" s="31"/>
      <c r="D2" s="67"/>
      <c r="E2" s="67"/>
    </row>
    <row r="3" spans="1:6" ht="15.75" customHeight="1" x14ac:dyDescent="0.25">
      <c r="A3" s="1" t="s">
        <v>1</v>
      </c>
      <c r="B3" s="1"/>
      <c r="C3" s="32" t="s">
        <v>54</v>
      </c>
      <c r="D3" s="32" t="s">
        <v>53</v>
      </c>
      <c r="E3" s="32" t="s">
        <v>54</v>
      </c>
    </row>
    <row r="4" spans="1:6" ht="15.75" customHeight="1" x14ac:dyDescent="0.25">
      <c r="A4" s="1" t="s">
        <v>8</v>
      </c>
      <c r="B4" s="1"/>
      <c r="C4" s="32">
        <v>9041.02</v>
      </c>
      <c r="D4" s="32">
        <v>9041.02</v>
      </c>
      <c r="E4" s="32">
        <f>+D37</f>
        <v>8609.93</v>
      </c>
    </row>
    <row r="5" spans="1:6" ht="15.75" customHeight="1" x14ac:dyDescent="0.25">
      <c r="A5" s="5" t="s">
        <v>9</v>
      </c>
      <c r="B5" s="5"/>
      <c r="C5" s="32">
        <v>5900</v>
      </c>
      <c r="D5" s="32">
        <v>5900</v>
      </c>
      <c r="E5" s="32">
        <f>SUM(D5*1.1)-29-17-35</f>
        <v>6409.0000000000009</v>
      </c>
      <c r="F5" s="70">
        <f>(E5/D5)-1</f>
        <v>8.6271186440678216E-2</v>
      </c>
    </row>
    <row r="6" spans="1:6" ht="15.75" customHeight="1" x14ac:dyDescent="0.25">
      <c r="A6" s="1" t="s">
        <v>10</v>
      </c>
      <c r="B6" s="1"/>
      <c r="C6" s="32">
        <v>125</v>
      </c>
      <c r="D6" s="32">
        <v>243.46</v>
      </c>
      <c r="E6" s="32">
        <f>+D32+200+35</f>
        <v>239.33</v>
      </c>
    </row>
    <row r="7" spans="1:6" ht="15.75" customHeight="1" x14ac:dyDescent="0.25">
      <c r="A7" s="1" t="s">
        <v>29</v>
      </c>
      <c r="B7" s="1"/>
      <c r="C7" s="34">
        <v>0</v>
      </c>
      <c r="D7" s="34">
        <v>0</v>
      </c>
      <c r="E7" s="34"/>
    </row>
    <row r="8" spans="1:6" ht="15.75" customHeight="1" x14ac:dyDescent="0.25">
      <c r="A8" s="7" t="s">
        <v>11</v>
      </c>
      <c r="B8" s="7"/>
      <c r="C8" s="32">
        <f t="shared" ref="C8:E8" si="0">SUM(C5:C7)</f>
        <v>6025</v>
      </c>
      <c r="D8" s="32">
        <f t="shared" si="0"/>
        <v>6143.46</v>
      </c>
      <c r="E8" s="32">
        <f t="shared" si="0"/>
        <v>6648.3300000000008</v>
      </c>
    </row>
    <row r="9" spans="1:6" ht="15.75" customHeight="1" x14ac:dyDescent="0.25">
      <c r="A9" s="2" t="s">
        <v>12</v>
      </c>
      <c r="B9" s="2"/>
      <c r="C9" s="3"/>
      <c r="D9" s="3"/>
      <c r="E9" s="3"/>
    </row>
    <row r="10" spans="1:6" ht="15.75" customHeight="1" x14ac:dyDescent="0.25">
      <c r="A10" s="12" t="s">
        <v>13</v>
      </c>
      <c r="B10" s="1" t="s">
        <v>31</v>
      </c>
      <c r="C10" s="32">
        <v>500</v>
      </c>
      <c r="D10" s="32">
        <v>500</v>
      </c>
      <c r="E10" s="32">
        <v>500</v>
      </c>
    </row>
    <row r="11" spans="1:6" ht="15.75" customHeight="1" x14ac:dyDescent="0.25">
      <c r="A11" s="1"/>
      <c r="B11" s="1" t="s">
        <v>14</v>
      </c>
      <c r="C11" s="32">
        <v>800</v>
      </c>
      <c r="D11" s="32">
        <v>861</v>
      </c>
      <c r="E11" s="32">
        <f>SUM(D11*1.025)</f>
        <v>882.52499999999998</v>
      </c>
      <c r="F11" s="68">
        <v>2.5000000000000001E-2</v>
      </c>
    </row>
    <row r="12" spans="1:6" ht="15.75" customHeight="1" x14ac:dyDescent="0.25">
      <c r="A12" s="1" t="s">
        <v>15</v>
      </c>
      <c r="B12" s="1" t="s">
        <v>32</v>
      </c>
      <c r="C12" s="32">
        <v>0</v>
      </c>
      <c r="D12" s="32">
        <v>0</v>
      </c>
      <c r="E12" s="32">
        <v>0</v>
      </c>
    </row>
    <row r="13" spans="1:6" ht="15.75" customHeight="1" x14ac:dyDescent="0.25">
      <c r="A13" s="12" t="s">
        <v>34</v>
      </c>
      <c r="B13" s="1" t="s">
        <v>37</v>
      </c>
      <c r="C13" s="32">
        <v>2477.2000000000003</v>
      </c>
      <c r="D13" s="32">
        <v>2368.3200000000006</v>
      </c>
      <c r="E13" s="32">
        <f>SUM(D13*1.025)</f>
        <v>2427.5280000000002</v>
      </c>
      <c r="F13" s="68">
        <v>2.5000000000000001E-2</v>
      </c>
    </row>
    <row r="14" spans="1:6" ht="15.75" customHeight="1" x14ac:dyDescent="0.25">
      <c r="A14" s="1"/>
      <c r="B14" s="1" t="s">
        <v>33</v>
      </c>
      <c r="C14" s="32">
        <v>0</v>
      </c>
      <c r="D14" s="32">
        <v>0</v>
      </c>
      <c r="E14" s="32">
        <v>0</v>
      </c>
    </row>
    <row r="15" spans="1:6" ht="15.75" customHeight="1" x14ac:dyDescent="0.25">
      <c r="A15" s="1" t="s">
        <v>30</v>
      </c>
      <c r="B15" s="1"/>
      <c r="C15" s="32">
        <v>200</v>
      </c>
      <c r="D15" s="32">
        <v>342.50000000000006</v>
      </c>
      <c r="E15" s="32">
        <v>350</v>
      </c>
    </row>
    <row r="16" spans="1:6" ht="15.75" customHeight="1" x14ac:dyDescent="0.25">
      <c r="A16" s="1" t="s">
        <v>38</v>
      </c>
      <c r="B16" s="1"/>
      <c r="C16" s="32">
        <v>150</v>
      </c>
      <c r="D16" s="32">
        <v>0</v>
      </c>
      <c r="E16" s="32">
        <v>0</v>
      </c>
    </row>
    <row r="17" spans="1:8" ht="15.75" customHeight="1" x14ac:dyDescent="0.25">
      <c r="A17" s="1" t="s">
        <v>16</v>
      </c>
      <c r="B17" s="1"/>
      <c r="C17" s="32">
        <v>150</v>
      </c>
      <c r="D17" s="32">
        <v>161.51</v>
      </c>
      <c r="E17" s="32">
        <f>SUM(D17*1.25)</f>
        <v>201.88749999999999</v>
      </c>
      <c r="F17" s="68">
        <v>2.5000000000000001E-2</v>
      </c>
    </row>
    <row r="18" spans="1:8" ht="15.75" customHeight="1" x14ac:dyDescent="0.25">
      <c r="A18" s="1" t="s">
        <v>48</v>
      </c>
      <c r="B18" s="1"/>
      <c r="C18" s="32">
        <v>500</v>
      </c>
      <c r="D18" s="32">
        <v>0</v>
      </c>
      <c r="E18" s="32">
        <v>0</v>
      </c>
    </row>
    <row r="19" spans="1:8" ht="15.75" customHeight="1" x14ac:dyDescent="0.25">
      <c r="A19" s="1" t="s">
        <v>17</v>
      </c>
      <c r="B19" s="1" t="s">
        <v>59</v>
      </c>
      <c r="C19" s="32">
        <v>394.8</v>
      </c>
      <c r="D19" s="32">
        <v>390.2</v>
      </c>
      <c r="E19" s="32">
        <f>SUM(C19*1.05)</f>
        <v>414.54</v>
      </c>
      <c r="F19" s="69">
        <v>0.05</v>
      </c>
      <c r="G19" s="68">
        <v>1.0994336592375531</v>
      </c>
    </row>
    <row r="20" spans="1:8" ht="15.75" customHeight="1" x14ac:dyDescent="0.25">
      <c r="A20" s="1"/>
      <c r="B20" s="1" t="s">
        <v>23</v>
      </c>
      <c r="C20" s="32">
        <v>500</v>
      </c>
      <c r="D20" s="32">
        <v>805.65</v>
      </c>
      <c r="E20" s="32">
        <f>SUM(D20*1.05)</f>
        <v>845.9325</v>
      </c>
      <c r="F20" s="69">
        <v>0.05</v>
      </c>
      <c r="G20" s="68">
        <v>1.1632255269997112</v>
      </c>
    </row>
    <row r="21" spans="1:8" ht="15.75" customHeight="1" x14ac:dyDescent="0.25">
      <c r="A21" s="1" t="s">
        <v>18</v>
      </c>
      <c r="B21" s="1" t="s">
        <v>35</v>
      </c>
      <c r="C21" s="32">
        <v>460</v>
      </c>
      <c r="D21" s="32">
        <v>366.04</v>
      </c>
      <c r="E21" s="32">
        <f>D21*1.025</f>
        <v>375.19099999999997</v>
      </c>
      <c r="F21" s="68">
        <v>2.5000000000000001E-2</v>
      </c>
    </row>
    <row r="22" spans="1:8" ht="15.75" customHeight="1" x14ac:dyDescent="0.25">
      <c r="A22" s="1" t="s">
        <v>19</v>
      </c>
      <c r="B22" s="1"/>
      <c r="C22" s="32">
        <v>70</v>
      </c>
      <c r="D22" s="32">
        <v>60</v>
      </c>
      <c r="E22" s="32">
        <v>65</v>
      </c>
    </row>
    <row r="23" spans="1:8" ht="15.75" customHeight="1" x14ac:dyDescent="0.25">
      <c r="A23" s="1" t="s">
        <v>20</v>
      </c>
      <c r="B23" s="1"/>
      <c r="C23" s="32">
        <v>35</v>
      </c>
      <c r="D23" s="32">
        <v>35</v>
      </c>
      <c r="E23" s="32">
        <v>35</v>
      </c>
    </row>
    <row r="24" spans="1:8" ht="15.75" customHeight="1" x14ac:dyDescent="0.25">
      <c r="A24" s="1" t="s">
        <v>21</v>
      </c>
      <c r="B24" s="1"/>
      <c r="C24" s="32">
        <v>175</v>
      </c>
      <c r="D24" s="32">
        <v>180</v>
      </c>
      <c r="E24" s="32">
        <v>200</v>
      </c>
    </row>
    <row r="25" spans="1:8" ht="15.75" customHeight="1" x14ac:dyDescent="0.25">
      <c r="A25" s="12" t="s">
        <v>22</v>
      </c>
      <c r="B25" s="1"/>
      <c r="C25" s="31"/>
      <c r="D25" s="31"/>
      <c r="E25" s="31"/>
    </row>
    <row r="26" spans="1:8" ht="15.75" customHeight="1" x14ac:dyDescent="0.25">
      <c r="A26" s="1"/>
      <c r="B26" s="1" t="s">
        <v>23</v>
      </c>
      <c r="C26" s="32"/>
      <c r="D26" s="32">
        <v>0</v>
      </c>
      <c r="E26" s="32">
        <v>0</v>
      </c>
    </row>
    <row r="27" spans="1:8" ht="15.75" customHeight="1" x14ac:dyDescent="0.25">
      <c r="A27" s="1"/>
      <c r="B27" s="1" t="s">
        <v>60</v>
      </c>
      <c r="C27" s="32"/>
      <c r="D27" s="32">
        <v>500</v>
      </c>
      <c r="E27" s="32">
        <v>0</v>
      </c>
    </row>
    <row r="28" spans="1:8" ht="15.75" customHeight="1" x14ac:dyDescent="0.25">
      <c r="A28" s="1"/>
      <c r="B28" s="1" t="s">
        <v>24</v>
      </c>
      <c r="C28" s="32">
        <v>200</v>
      </c>
      <c r="D28" s="32">
        <v>0</v>
      </c>
      <c r="E28" s="32">
        <v>0</v>
      </c>
    </row>
    <row r="29" spans="1:8" ht="15.75" customHeight="1" x14ac:dyDescent="0.25">
      <c r="A29" s="1"/>
      <c r="B29" s="1" t="s">
        <v>25</v>
      </c>
      <c r="C29" s="32">
        <v>200</v>
      </c>
      <c r="D29" s="32">
        <v>0</v>
      </c>
      <c r="E29" s="32">
        <v>0</v>
      </c>
    </row>
    <row r="30" spans="1:8" ht="15.75" customHeight="1" x14ac:dyDescent="0.25">
      <c r="A30" s="1" t="s">
        <v>26</v>
      </c>
      <c r="B30" s="1"/>
      <c r="C30" s="32">
        <v>100</v>
      </c>
      <c r="D30" s="32">
        <v>0</v>
      </c>
      <c r="E30" s="32">
        <v>100</v>
      </c>
    </row>
    <row r="31" spans="1:8" ht="15.75" customHeight="1" x14ac:dyDescent="0.25">
      <c r="A31" s="1" t="s">
        <v>27</v>
      </c>
      <c r="B31" s="1"/>
      <c r="C31" s="32">
        <v>250</v>
      </c>
      <c r="D31" s="32">
        <v>0</v>
      </c>
      <c r="E31" s="32">
        <v>250</v>
      </c>
    </row>
    <row r="32" spans="1:8" s="23" customFormat="1" ht="15.75" customHeight="1" x14ac:dyDescent="0.25">
      <c r="A32" s="1" t="s">
        <v>28</v>
      </c>
      <c r="B32" s="1"/>
      <c r="C32" s="32"/>
      <c r="D32" s="32">
        <v>4.33</v>
      </c>
      <c r="E32" s="32"/>
      <c r="G32" s="15"/>
      <c r="H32" s="15"/>
    </row>
    <row r="33" spans="1:8" s="23" customFormat="1" ht="15.75" customHeight="1" x14ac:dyDescent="0.25">
      <c r="A33" s="9" t="s">
        <v>11</v>
      </c>
      <c r="B33" s="9"/>
      <c r="C33" s="32">
        <f>SUM(C10:C32)</f>
        <v>7162.0000000000009</v>
      </c>
      <c r="D33" s="32">
        <f>SUM(D10:D32)</f>
        <v>6574.55</v>
      </c>
      <c r="E33" s="32">
        <f>SUM(E10:E32)</f>
        <v>6647.6039999999994</v>
      </c>
      <c r="G33" s="15"/>
      <c r="H33" s="15"/>
    </row>
    <row r="34" spans="1:8" s="23" customFormat="1" ht="15.75" customHeight="1" x14ac:dyDescent="0.25">
      <c r="A34" s="15"/>
      <c r="B34" s="15"/>
      <c r="G34" s="15"/>
      <c r="H34" s="15"/>
    </row>
    <row r="35" spans="1:8" ht="15.75" customHeight="1" x14ac:dyDescent="0.25">
      <c r="A35" s="15" t="s">
        <v>55</v>
      </c>
      <c r="B35" s="15" t="s">
        <v>56</v>
      </c>
      <c r="D35" s="19">
        <v>9041.02</v>
      </c>
      <c r="E35" s="19">
        <f>+E4</f>
        <v>8609.93</v>
      </c>
      <c r="F35" s="25"/>
      <c r="G35" s="25"/>
    </row>
    <row r="36" spans="1:8" ht="15.75" customHeight="1" x14ac:dyDescent="0.25">
      <c r="B36" s="15" t="s">
        <v>57</v>
      </c>
      <c r="C36" s="41"/>
      <c r="D36" s="19">
        <f>+D8-D33</f>
        <v>-431.09000000000015</v>
      </c>
      <c r="E36" s="19">
        <f>+E8-E33</f>
        <v>0.72600000000147702</v>
      </c>
      <c r="F36" s="25"/>
      <c r="G36" s="25"/>
    </row>
    <row r="37" spans="1:8" ht="15.75" customHeight="1" x14ac:dyDescent="0.25">
      <c r="B37" s="15" t="s">
        <v>58</v>
      </c>
      <c r="D37" s="19">
        <f t="shared" ref="D37:E37" si="1">+D36+D35</f>
        <v>8609.93</v>
      </c>
      <c r="E37" s="19">
        <f t="shared" si="1"/>
        <v>8610.6560000000027</v>
      </c>
    </row>
    <row r="38" spans="1:8" ht="15.75" customHeight="1" x14ac:dyDescent="0.25">
      <c r="B38" s="25" t="s">
        <v>47</v>
      </c>
      <c r="D38" s="66">
        <f>(D37/D33)*12</f>
        <v>15.715016236852712</v>
      </c>
      <c r="E38" s="66">
        <f>(E37/E33)*12</f>
        <v>15.54362624488463</v>
      </c>
    </row>
  </sheetData>
  <pageMargins left="0.19685039370078741" right="0.59055118110236227" top="0.98425196850393704" bottom="0.98425196850393704" header="0.51181102362204722" footer="0.51181102362204722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Income</vt:lpstr>
      <vt:lpstr>Expenditure</vt:lpstr>
      <vt:lpstr>Expenditure over £100</vt:lpstr>
      <vt:lpstr>Bank Rec</vt:lpstr>
      <vt:lpstr>Budget 2024 2025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Kyle</dc:creator>
  <cp:lastModifiedBy>Allan Dawes</cp:lastModifiedBy>
  <cp:revision/>
  <cp:lastPrinted>2024-04-03T21:41:52Z</cp:lastPrinted>
  <dcterms:created xsi:type="dcterms:W3CDTF">2015-05-15T14:49:10Z</dcterms:created>
  <dcterms:modified xsi:type="dcterms:W3CDTF">2024-04-03T21:42:51Z</dcterms:modified>
</cp:coreProperties>
</file>